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15480" windowHeight="10932"/>
  </bookViews>
  <sheets>
    <sheet name="ожидаемое 2019" sheetId="36" r:id="rId1"/>
    <sheet name="в разрезе МУ" sheetId="37" r:id="rId2"/>
    <sheet name="в разрезе услуг" sheetId="20" r:id="rId3"/>
  </sheets>
  <definedNames>
    <definedName name="_xlnm.Print_Titles" localSheetId="1">'в разрезе МУ'!$2:$3</definedName>
    <definedName name="_xlnm.Print_Titles" localSheetId="2">'в разрезе услуг'!$3:$4</definedName>
    <definedName name="_xlnm.Print_Titles" localSheetId="0">'ожидаемое 2019'!$4:$5</definedName>
    <definedName name="_xlnm.Print_Area" localSheetId="0">'ожидаемое 2019'!$A$1:$M$179</definedName>
  </definedNames>
  <calcPr calcId="145621"/>
  <fileRecoveryPr autoRecover="0"/>
</workbook>
</file>

<file path=xl/calcChain.xml><?xml version="1.0" encoding="utf-8"?>
<calcChain xmlns="http://schemas.openxmlformats.org/spreadsheetml/2006/main">
  <c r="H129" i="36" l="1"/>
  <c r="H49" i="36"/>
  <c r="I49" i="36" s="1"/>
  <c r="H43" i="36"/>
  <c r="H8" i="36"/>
  <c r="I8" i="36"/>
  <c r="H181" i="36"/>
  <c r="H116" i="36"/>
  <c r="I116" i="36" s="1"/>
  <c r="H158" i="36"/>
  <c r="H152" i="36"/>
  <c r="H101" i="36"/>
  <c r="I101" i="36" s="1"/>
  <c r="H75" i="36"/>
  <c r="H74" i="36"/>
  <c r="H79" i="36"/>
  <c r="H58" i="36"/>
  <c r="H56" i="36"/>
  <c r="H30" i="36"/>
  <c r="I30" i="36" s="1"/>
  <c r="H23" i="36"/>
  <c r="I23" i="36"/>
  <c r="H22" i="36"/>
  <c r="I22" i="36" s="1"/>
  <c r="H9" i="36"/>
  <c r="G183" i="36"/>
  <c r="H146" i="36"/>
  <c r="I146" i="36" s="1"/>
  <c r="H141" i="36"/>
  <c r="H134" i="36"/>
  <c r="H92" i="36"/>
  <c r="H86" i="36"/>
  <c r="H55" i="36"/>
  <c r="H29" i="36"/>
  <c r="H16" i="36"/>
  <c r="H15" i="36"/>
  <c r="H185" i="36"/>
  <c r="H128" i="36"/>
  <c r="H122" i="36"/>
  <c r="H110" i="36"/>
  <c r="H98" i="36"/>
  <c r="H80" i="36"/>
  <c r="I52" i="36"/>
  <c r="J52" i="36"/>
  <c r="F60" i="37" s="1"/>
  <c r="G60" i="37" s="1"/>
  <c r="H60" i="37" s="1"/>
  <c r="I51" i="36"/>
  <c r="I50" i="36"/>
  <c r="H48" i="36"/>
  <c r="I48" i="36"/>
  <c r="J48" i="36" s="1"/>
  <c r="H36" i="36"/>
  <c r="I36" i="36" s="1"/>
  <c r="H156" i="36"/>
  <c r="I156" i="36"/>
  <c r="J156" i="36" s="1"/>
  <c r="H144" i="36"/>
  <c r="I144" i="36" s="1"/>
  <c r="J144" i="36" s="1"/>
  <c r="H132" i="36"/>
  <c r="I132" i="36" s="1"/>
  <c r="J132" i="36" s="1"/>
  <c r="H108" i="36"/>
  <c r="I108" i="36"/>
  <c r="J108" i="36" s="1"/>
  <c r="K108" i="36" s="1"/>
  <c r="I29" i="37" s="1"/>
  <c r="H96" i="36"/>
  <c r="I96" i="36" s="1"/>
  <c r="J96" i="36" s="1"/>
  <c r="C24" i="37" s="1"/>
  <c r="D24" i="37" s="1"/>
  <c r="E24" i="37" s="1"/>
  <c r="H84" i="36"/>
  <c r="I84" i="36" s="1"/>
  <c r="J84" i="36" s="1"/>
  <c r="H72" i="36"/>
  <c r="G59" i="36"/>
  <c r="H53" i="36"/>
  <c r="I53" i="36" s="1"/>
  <c r="J53" i="36" s="1"/>
  <c r="C68" i="37" s="1"/>
  <c r="D68" i="37" s="1"/>
  <c r="H41" i="36"/>
  <c r="I41" i="36" s="1"/>
  <c r="J41" i="36" s="1"/>
  <c r="H34" i="36"/>
  <c r="I34" i="36"/>
  <c r="J34" i="36" s="1"/>
  <c r="C54" i="37" s="1"/>
  <c r="C52" i="37" s="1"/>
  <c r="G40" i="36"/>
  <c r="G33" i="36"/>
  <c r="G184" i="36" s="1"/>
  <c r="H13" i="36"/>
  <c r="H161" i="36"/>
  <c r="I161" i="36" s="1"/>
  <c r="H137" i="36"/>
  <c r="H60" i="36"/>
  <c r="I60" i="36" s="1"/>
  <c r="J60" i="36" s="1"/>
  <c r="H46" i="36"/>
  <c r="I46" i="36" s="1"/>
  <c r="G65" i="37"/>
  <c r="H65" i="37" s="1"/>
  <c r="H67" i="36"/>
  <c r="I67" i="36"/>
  <c r="J67" i="36" s="1"/>
  <c r="H20" i="36"/>
  <c r="I20" i="36" s="1"/>
  <c r="J20" i="36" s="1"/>
  <c r="H163" i="36"/>
  <c r="I163" i="36" s="1"/>
  <c r="J163" i="36" s="1"/>
  <c r="G167" i="36"/>
  <c r="I150" i="36"/>
  <c r="J150" i="36" s="1"/>
  <c r="F44" i="37" s="1"/>
  <c r="H151" i="36"/>
  <c r="I151" i="36" s="1"/>
  <c r="J151" i="36" s="1"/>
  <c r="G155" i="36"/>
  <c r="H139" i="36"/>
  <c r="I139" i="36" s="1"/>
  <c r="G143" i="36"/>
  <c r="H120" i="36"/>
  <c r="I120" i="36" s="1"/>
  <c r="J120" i="36" s="1"/>
  <c r="C34" i="37" s="1"/>
  <c r="H127" i="36"/>
  <c r="I114" i="36"/>
  <c r="J114" i="36" s="1"/>
  <c r="F29" i="37" s="1"/>
  <c r="H115" i="36"/>
  <c r="I115" i="36" s="1"/>
  <c r="J115" i="36" s="1"/>
  <c r="G119" i="36"/>
  <c r="G107" i="36"/>
  <c r="I107" i="36" s="1"/>
  <c r="J107" i="36" s="1"/>
  <c r="F25" i="37" s="1"/>
  <c r="G25" i="37" s="1"/>
  <c r="H25" i="37" s="1"/>
  <c r="H103" i="36"/>
  <c r="I103" i="36" s="1"/>
  <c r="J103" i="36" s="1"/>
  <c r="H91" i="36"/>
  <c r="I91" i="36" s="1"/>
  <c r="J91" i="36" s="1"/>
  <c r="C20" i="37" s="1"/>
  <c r="D20" i="37" s="1"/>
  <c r="E20" i="37" s="1"/>
  <c r="G95" i="36"/>
  <c r="I79" i="36"/>
  <c r="J79" i="36" s="1"/>
  <c r="C15" i="37" s="1"/>
  <c r="D15" i="37" s="1"/>
  <c r="E15" i="37" s="1"/>
  <c r="H184" i="36"/>
  <c r="H68" i="36"/>
  <c r="I68" i="36" s="1"/>
  <c r="I71" i="36"/>
  <c r="J71" i="36"/>
  <c r="F64" i="37" s="1"/>
  <c r="I70" i="36"/>
  <c r="I69" i="36"/>
  <c r="H164" i="36"/>
  <c r="I164" i="36" s="1"/>
  <c r="I158" i="36"/>
  <c r="H140" i="36"/>
  <c r="I140" i="36" s="1"/>
  <c r="I134" i="36"/>
  <c r="I122" i="36"/>
  <c r="I98" i="36"/>
  <c r="I86" i="36"/>
  <c r="I80" i="36"/>
  <c r="I74" i="36"/>
  <c r="I55" i="36"/>
  <c r="H62" i="36"/>
  <c r="I62" i="36" s="1"/>
  <c r="I128" i="36"/>
  <c r="I15" i="36"/>
  <c r="I97" i="36"/>
  <c r="H14" i="36"/>
  <c r="I14" i="36" s="1"/>
  <c r="H7" i="36"/>
  <c r="I7" i="36" s="1"/>
  <c r="H27" i="36"/>
  <c r="I27" i="36" s="1"/>
  <c r="J27" i="36" s="1"/>
  <c r="I28" i="36"/>
  <c r="I160" i="36"/>
  <c r="I159" i="36"/>
  <c r="I149" i="36"/>
  <c r="I148" i="36"/>
  <c r="I147" i="36"/>
  <c r="I137" i="36"/>
  <c r="I136" i="36"/>
  <c r="I135" i="36"/>
  <c r="I125" i="36"/>
  <c r="I124" i="36"/>
  <c r="I123" i="36"/>
  <c r="I113" i="36"/>
  <c r="I112" i="36"/>
  <c r="I111" i="36"/>
  <c r="I100" i="36"/>
  <c r="I99" i="36"/>
  <c r="I89" i="36"/>
  <c r="I88" i="36"/>
  <c r="I87" i="36"/>
  <c r="I77" i="36"/>
  <c r="I76" i="36"/>
  <c r="I75" i="36"/>
  <c r="I58" i="36"/>
  <c r="I57" i="36"/>
  <c r="I56" i="36"/>
  <c r="I65" i="36"/>
  <c r="I64" i="36"/>
  <c r="I63" i="36"/>
  <c r="I45" i="36"/>
  <c r="I44" i="36"/>
  <c r="I39" i="36"/>
  <c r="I38" i="36"/>
  <c r="I37" i="36"/>
  <c r="I11" i="36"/>
  <c r="I10" i="36"/>
  <c r="I9" i="36"/>
  <c r="I18" i="36"/>
  <c r="I17" i="36"/>
  <c r="I16" i="36"/>
  <c r="G32" i="36"/>
  <c r="I32" i="36"/>
  <c r="I31" i="36"/>
  <c r="I29" i="36"/>
  <c r="I24" i="36"/>
  <c r="G25" i="36"/>
  <c r="I25" i="36" s="1"/>
  <c r="I165" i="36"/>
  <c r="I153" i="36"/>
  <c r="I141" i="36"/>
  <c r="I129" i="36"/>
  <c r="I117" i="36"/>
  <c r="I105" i="36"/>
  <c r="I93" i="36"/>
  <c r="I81" i="36"/>
  <c r="I102" i="36"/>
  <c r="J102" i="36" s="1"/>
  <c r="F24" i="37" s="1"/>
  <c r="I154" i="36"/>
  <c r="I127" i="36"/>
  <c r="J127" i="36" s="1"/>
  <c r="C35" i="37" s="1"/>
  <c r="D35" i="37" s="1"/>
  <c r="E35" i="37" s="1"/>
  <c r="I131" i="36"/>
  <c r="J131" i="36" s="1"/>
  <c r="F35" i="37" s="1"/>
  <c r="G35" i="37" s="1"/>
  <c r="H35" i="37" s="1"/>
  <c r="I106" i="36"/>
  <c r="I94" i="36"/>
  <c r="I92" i="36"/>
  <c r="I43" i="36"/>
  <c r="I72" i="36"/>
  <c r="J72" i="36" s="1"/>
  <c r="I78" i="36"/>
  <c r="J78" i="36" s="1"/>
  <c r="F14" i="37" s="1"/>
  <c r="G14" i="37" s="1"/>
  <c r="H14" i="37"/>
  <c r="I152" i="36"/>
  <c r="I110" i="36"/>
  <c r="H104" i="36"/>
  <c r="I104" i="36"/>
  <c r="I181" i="36"/>
  <c r="I166" i="36"/>
  <c r="I157" i="36"/>
  <c r="I143" i="36"/>
  <c r="J143" i="36" s="1"/>
  <c r="F40" i="37" s="1"/>
  <c r="G40" i="37" s="1"/>
  <c r="H40" i="37" s="1"/>
  <c r="I142" i="36"/>
  <c r="I133" i="36"/>
  <c r="I145" i="36"/>
  <c r="I130" i="36"/>
  <c r="I121" i="36"/>
  <c r="I118" i="36"/>
  <c r="I109" i="36"/>
  <c r="I85" i="36"/>
  <c r="I82" i="36"/>
  <c r="I73" i="36"/>
  <c r="I54" i="36"/>
  <c r="I61" i="36"/>
  <c r="I42" i="36"/>
  <c r="I35" i="36"/>
  <c r="I21" i="36"/>
  <c r="G9" i="20"/>
  <c r="F8" i="20"/>
  <c r="C8" i="20"/>
  <c r="I8" i="20"/>
  <c r="I12" i="36"/>
  <c r="J12" i="36" s="1"/>
  <c r="I90" i="36"/>
  <c r="J90" i="36" s="1"/>
  <c r="F19" i="37" s="1"/>
  <c r="G19" i="37" s="1"/>
  <c r="H19" i="37"/>
  <c r="I40" i="36"/>
  <c r="J40" i="36" s="1"/>
  <c r="F54" i="37" s="1"/>
  <c r="F52" i="37" s="1"/>
  <c r="I167" i="36"/>
  <c r="J167" i="36" s="1"/>
  <c r="F50" i="37" s="1"/>
  <c r="G50" i="37" s="1"/>
  <c r="H50" i="37" s="1"/>
  <c r="I138" i="36"/>
  <c r="J138" i="36" s="1"/>
  <c r="F39" i="37" s="1"/>
  <c r="G39" i="37" s="1"/>
  <c r="H39" i="37"/>
  <c r="I119" i="36"/>
  <c r="J119" i="36" s="1"/>
  <c r="F30" i="37" s="1"/>
  <c r="G30" i="37" s="1"/>
  <c r="I155" i="36"/>
  <c r="J155" i="36"/>
  <c r="F45" i="37" s="1"/>
  <c r="I66" i="36"/>
  <c r="J66" i="36" s="1"/>
  <c r="F63" i="37" s="1"/>
  <c r="I126" i="36"/>
  <c r="J126" i="36" s="1"/>
  <c r="F34" i="37" s="1"/>
  <c r="I83" i="36"/>
  <c r="J83" i="36" s="1"/>
  <c r="I47" i="36"/>
  <c r="J47" i="36" s="1"/>
  <c r="F59" i="37" s="1"/>
  <c r="I59" i="36"/>
  <c r="J59" i="36" s="1"/>
  <c r="F68" i="37"/>
  <c r="G68" i="37" s="1"/>
  <c r="G66" i="37" s="1"/>
  <c r="H66" i="37" s="1"/>
  <c r="I95" i="36"/>
  <c r="J95" i="36" s="1"/>
  <c r="F20" i="37" s="1"/>
  <c r="G20" i="37" s="1"/>
  <c r="H20" i="37" s="1"/>
  <c r="I26" i="36"/>
  <c r="J26" i="36" s="1"/>
  <c r="I162" i="36"/>
  <c r="J162" i="36" s="1"/>
  <c r="F49" i="37"/>
  <c r="G49" i="37" s="1"/>
  <c r="H49" i="37" s="1"/>
  <c r="I33" i="36"/>
  <c r="J33" i="36" s="1"/>
  <c r="F11" i="37" s="1"/>
  <c r="G11" i="37" s="1"/>
  <c r="H11" i="37" s="1"/>
  <c r="I19" i="36"/>
  <c r="J19" i="36"/>
  <c r="I13" i="36"/>
  <c r="H183" i="36"/>
  <c r="H6" i="36"/>
  <c r="I6" i="36" s="1"/>
  <c r="J6" i="36" s="1"/>
  <c r="H30" i="37"/>
  <c r="F10" i="37"/>
  <c r="G10" i="37" s="1"/>
  <c r="H10" i="37" s="1"/>
  <c r="F17" i="37"/>
  <c r="G17" i="37" s="1"/>
  <c r="H17" i="37" s="1"/>
  <c r="F37" i="37"/>
  <c r="G37" i="37" s="1"/>
  <c r="H37" i="37" s="1"/>
  <c r="F27" i="37"/>
  <c r="G27" i="37"/>
  <c r="H27" i="37" s="1"/>
  <c r="G54" i="37"/>
  <c r="G24" i="37"/>
  <c r="H24" i="37" s="1"/>
  <c r="G45" i="37"/>
  <c r="H45" i="37" s="1"/>
  <c r="G29" i="37"/>
  <c r="H29" i="37"/>
  <c r="G64" i="37"/>
  <c r="H64" i="37" s="1"/>
  <c r="K6" i="36" l="1"/>
  <c r="C6" i="37"/>
  <c r="D6" i="37" s="1"/>
  <c r="E6" i="37" s="1"/>
  <c r="C5" i="20"/>
  <c r="K156" i="36"/>
  <c r="I49" i="37" s="1"/>
  <c r="C49" i="37"/>
  <c r="J13" i="36"/>
  <c r="K13" i="36" s="1"/>
  <c r="C11" i="37"/>
  <c r="D11" i="37" s="1"/>
  <c r="E11" i="37" s="1"/>
  <c r="K27" i="36"/>
  <c r="I11" i="37" s="1"/>
  <c r="J11" i="37" s="1"/>
  <c r="K11" i="37" s="1"/>
  <c r="G63" i="37"/>
  <c r="H63" i="37" s="1"/>
  <c r="F61" i="37"/>
  <c r="G61" i="37" s="1"/>
  <c r="H61" i="37" s="1"/>
  <c r="K41" i="36"/>
  <c r="C59" i="37"/>
  <c r="D59" i="37" s="1"/>
  <c r="E59" i="37" s="1"/>
  <c r="C60" i="37"/>
  <c r="D60" i="37" s="1"/>
  <c r="E60" i="37" s="1"/>
  <c r="K48" i="36"/>
  <c r="I60" i="37" s="1"/>
  <c r="J60" i="37" s="1"/>
  <c r="K60" i="37" s="1"/>
  <c r="H68" i="37"/>
  <c r="F47" i="37"/>
  <c r="G47" i="37" s="1"/>
  <c r="H47" i="37" s="1"/>
  <c r="G185" i="36"/>
  <c r="F22" i="37"/>
  <c r="G22" i="37" s="1"/>
  <c r="H22" i="37" s="1"/>
  <c r="G181" i="36"/>
  <c r="K53" i="36"/>
  <c r="I68" i="37" s="1"/>
  <c r="F66" i="37"/>
  <c r="C29" i="37"/>
  <c r="D29" i="37" s="1"/>
  <c r="E29" i="37" s="1"/>
  <c r="J139" i="36"/>
  <c r="K139" i="36" s="1"/>
  <c r="I40" i="37" s="1"/>
  <c r="J40" i="37" s="1"/>
  <c r="K40" i="37" s="1"/>
  <c r="L139" i="36"/>
  <c r="C66" i="37"/>
  <c r="D57" i="37"/>
  <c r="E57" i="37" s="1"/>
  <c r="G52" i="37"/>
  <c r="H52" i="37" s="1"/>
  <c r="H54" i="37"/>
  <c r="J29" i="37"/>
  <c r="K29" i="37" s="1"/>
  <c r="C57" i="37"/>
  <c r="E68" i="37"/>
  <c r="D66" i="37"/>
  <c r="E66" i="37" s="1"/>
  <c r="J49" i="37"/>
  <c r="K49" i="37" s="1"/>
  <c r="G34" i="37"/>
  <c r="H34" i="37" s="1"/>
  <c r="F32" i="37"/>
  <c r="G32" i="37" s="1"/>
  <c r="H32" i="37" s="1"/>
  <c r="L48" i="36"/>
  <c r="F8" i="37"/>
  <c r="G8" i="37" s="1"/>
  <c r="H8" i="37" s="1"/>
  <c r="L156" i="36"/>
  <c r="L108" i="36"/>
  <c r="D34" i="37"/>
  <c r="E34" i="37" s="1"/>
  <c r="C32" i="37"/>
  <c r="D32" i="37" s="1"/>
  <c r="E32" i="37" s="1"/>
  <c r="F5" i="20"/>
  <c r="F6" i="37"/>
  <c r="C7" i="37"/>
  <c r="G44" i="37"/>
  <c r="H44" i="37" s="1"/>
  <c r="F42" i="37"/>
  <c r="G42" i="37" s="1"/>
  <c r="H42" i="37" s="1"/>
  <c r="D49" i="37"/>
  <c r="E49" i="37" s="1"/>
  <c r="F57" i="37"/>
  <c r="G59" i="37"/>
  <c r="K20" i="36"/>
  <c r="C10" i="37"/>
  <c r="L53" i="36"/>
  <c r="K96" i="36"/>
  <c r="C44" i="37"/>
  <c r="K144" i="36"/>
  <c r="K79" i="36"/>
  <c r="F7" i="20"/>
  <c r="F15" i="37"/>
  <c r="K67" i="36"/>
  <c r="C64" i="37"/>
  <c r="D64" i="37" s="1"/>
  <c r="E64" i="37" s="1"/>
  <c r="K115" i="36"/>
  <c r="C30" i="37"/>
  <c r="D54" i="37"/>
  <c r="F6" i="20"/>
  <c r="F7" i="37"/>
  <c r="G7" i="37" s="1"/>
  <c r="H7" i="37" s="1"/>
  <c r="K34" i="36"/>
  <c r="C14" i="37"/>
  <c r="K72" i="36"/>
  <c r="K127" i="36"/>
  <c r="K91" i="36"/>
  <c r="K120" i="36"/>
  <c r="C45" i="37"/>
  <c r="D45" i="37" s="1"/>
  <c r="E45" i="37" s="1"/>
  <c r="K151" i="36"/>
  <c r="L27" i="36" l="1"/>
  <c r="C40" i="37"/>
  <c r="D40" i="37" s="1"/>
  <c r="E40" i="37" s="1"/>
  <c r="I59" i="37"/>
  <c r="L41" i="36"/>
  <c r="L6" i="36"/>
  <c r="I6" i="37"/>
  <c r="J6" i="37" s="1"/>
  <c r="K6" i="37" s="1"/>
  <c r="I14" i="37"/>
  <c r="L72" i="36"/>
  <c r="I30" i="37"/>
  <c r="L115" i="36"/>
  <c r="L96" i="36"/>
  <c r="I24" i="37"/>
  <c r="K163" i="36"/>
  <c r="C50" i="37"/>
  <c r="L34" i="36"/>
  <c r="I54" i="37"/>
  <c r="C63" i="37"/>
  <c r="K60" i="36"/>
  <c r="L67" i="36"/>
  <c r="I64" i="37"/>
  <c r="J64" i="37" s="1"/>
  <c r="K64" i="37" s="1"/>
  <c r="L144" i="36"/>
  <c r="I44" i="37"/>
  <c r="G57" i="37"/>
  <c r="H57" i="37" s="1"/>
  <c r="H59" i="37"/>
  <c r="K132" i="36"/>
  <c r="C39" i="37"/>
  <c r="I7" i="37"/>
  <c r="L13" i="36"/>
  <c r="F9" i="20"/>
  <c r="L151" i="36"/>
  <c r="I45" i="37"/>
  <c r="J45" i="37" s="1"/>
  <c r="K45" i="37" s="1"/>
  <c r="L127" i="36"/>
  <c r="I35" i="37"/>
  <c r="J35" i="37" s="1"/>
  <c r="K35" i="37" s="1"/>
  <c r="D30" i="37"/>
  <c r="E30" i="37" s="1"/>
  <c r="C27" i="37"/>
  <c r="D27" i="37" s="1"/>
  <c r="E27" i="37" s="1"/>
  <c r="G15" i="37"/>
  <c r="H15" i="37" s="1"/>
  <c r="F12" i="37"/>
  <c r="G12" i="37" s="1"/>
  <c r="H12" i="37" s="1"/>
  <c r="D44" i="37"/>
  <c r="E44" i="37" s="1"/>
  <c r="C42" i="37"/>
  <c r="D42" i="37" s="1"/>
  <c r="E42" i="37" s="1"/>
  <c r="C8" i="37"/>
  <c r="D8" i="37" s="1"/>
  <c r="E8" i="37" s="1"/>
  <c r="D10" i="37"/>
  <c r="E10" i="37" s="1"/>
  <c r="C19" i="37"/>
  <c r="K84" i="36"/>
  <c r="I6" i="20" s="1"/>
  <c r="C6" i="20"/>
  <c r="L20" i="36"/>
  <c r="I10" i="37"/>
  <c r="I5" i="20"/>
  <c r="D7" i="37"/>
  <c r="E7" i="37" s="1"/>
  <c r="C4" i="37"/>
  <c r="D4" i="37" s="1"/>
  <c r="E4" i="37" s="1"/>
  <c r="I34" i="37"/>
  <c r="L120" i="36"/>
  <c r="C12" i="37"/>
  <c r="D12" i="37" s="1"/>
  <c r="E12" i="37" s="1"/>
  <c r="D14" i="37"/>
  <c r="E14" i="37" s="1"/>
  <c r="D52" i="37"/>
  <c r="E52" i="37" s="1"/>
  <c r="E54" i="37"/>
  <c r="I15" i="37"/>
  <c r="J15" i="37" s="1"/>
  <c r="K15" i="37" s="1"/>
  <c r="L79" i="36"/>
  <c r="J68" i="37"/>
  <c r="I66" i="37"/>
  <c r="C25" i="37"/>
  <c r="K103" i="36"/>
  <c r="C7" i="20"/>
  <c r="G6" i="37"/>
  <c r="H6" i="37" s="1"/>
  <c r="F4" i="37"/>
  <c r="G4" i="37" s="1"/>
  <c r="H4" i="37" s="1"/>
  <c r="L91" i="36"/>
  <c r="I20" i="37"/>
  <c r="J20" i="37" s="1"/>
  <c r="K20" i="37" s="1"/>
  <c r="I7" i="20" l="1"/>
  <c r="J59" i="37"/>
  <c r="K59" i="37" s="1"/>
  <c r="I57" i="37"/>
  <c r="J57" i="37" s="1"/>
  <c r="K57" i="37" s="1"/>
  <c r="C9" i="20"/>
  <c r="J10" i="37"/>
  <c r="K10" i="37" s="1"/>
  <c r="I8" i="37"/>
  <c r="J8" i="37" s="1"/>
  <c r="K8" i="37" s="1"/>
  <c r="D25" i="37"/>
  <c r="E25" i="37" s="1"/>
  <c r="C22" i="37"/>
  <c r="D22" i="37" s="1"/>
  <c r="E22" i="37" s="1"/>
  <c r="C37" i="37"/>
  <c r="D37" i="37" s="1"/>
  <c r="E37" i="37" s="1"/>
  <c r="D39" i="37"/>
  <c r="E39" i="37" s="1"/>
  <c r="J44" i="37"/>
  <c r="K44" i="37" s="1"/>
  <c r="I42" i="37"/>
  <c r="J42" i="37" s="1"/>
  <c r="K42" i="37" s="1"/>
  <c r="L60" i="36"/>
  <c r="I63" i="37"/>
  <c r="D50" i="37"/>
  <c r="E50" i="37" s="1"/>
  <c r="C47" i="37"/>
  <c r="D47" i="37" s="1"/>
  <c r="E47" i="37" s="1"/>
  <c r="I39" i="37"/>
  <c r="L132" i="36"/>
  <c r="C61" i="37"/>
  <c r="D61" i="37" s="1"/>
  <c r="E61" i="37" s="1"/>
  <c r="D63" i="37"/>
  <c r="E63" i="37" s="1"/>
  <c r="L163" i="36"/>
  <c r="I50" i="37"/>
  <c r="J30" i="37"/>
  <c r="K30" i="37" s="1"/>
  <c r="I27" i="37"/>
  <c r="J27" i="37" s="1"/>
  <c r="K27" i="37" s="1"/>
  <c r="K68" i="37"/>
  <c r="J66" i="37"/>
  <c r="K66" i="37" s="1"/>
  <c r="I9" i="20"/>
  <c r="I19" i="37"/>
  <c r="L84" i="36"/>
  <c r="J54" i="37"/>
  <c r="I52" i="37"/>
  <c r="J24" i="37"/>
  <c r="K24" i="37" s="1"/>
  <c r="I22" i="37"/>
  <c r="J22" i="37" s="1"/>
  <c r="K22" i="37" s="1"/>
  <c r="L103" i="36"/>
  <c r="I25" i="37"/>
  <c r="J25" i="37" s="1"/>
  <c r="K25" i="37" s="1"/>
  <c r="J34" i="37"/>
  <c r="K34" i="37" s="1"/>
  <c r="I32" i="37"/>
  <c r="J32" i="37" s="1"/>
  <c r="K32" i="37" s="1"/>
  <c r="D19" i="37"/>
  <c r="E19" i="37" s="1"/>
  <c r="C17" i="37"/>
  <c r="D17" i="37" s="1"/>
  <c r="E17" i="37" s="1"/>
  <c r="J7" i="37"/>
  <c r="K7" i="37" s="1"/>
  <c r="I4" i="37"/>
  <c r="J4" i="37" s="1"/>
  <c r="K4" i="37" s="1"/>
  <c r="J14" i="37"/>
  <c r="K14" i="37" s="1"/>
  <c r="I12" i="37"/>
  <c r="J12" i="37" s="1"/>
  <c r="K12" i="37" s="1"/>
  <c r="I17" i="37" l="1"/>
  <c r="J17" i="37" s="1"/>
  <c r="K17" i="37" s="1"/>
  <c r="J19" i="37"/>
  <c r="K19" i="37" s="1"/>
  <c r="J52" i="37"/>
  <c r="K52" i="37" s="1"/>
  <c r="K54" i="37"/>
  <c r="J50" i="37"/>
  <c r="K50" i="37" s="1"/>
  <c r="I47" i="37"/>
  <c r="J47" i="37" s="1"/>
  <c r="K47" i="37" s="1"/>
  <c r="J63" i="37"/>
  <c r="K63" i="37" s="1"/>
  <c r="I61" i="37"/>
  <c r="J61" i="37" s="1"/>
  <c r="K61" i="37" s="1"/>
  <c r="I37" i="37"/>
  <c r="J37" i="37" s="1"/>
  <c r="K37" i="37" s="1"/>
  <c r="J39" i="37"/>
  <c r="K39" i="37" s="1"/>
</calcChain>
</file>

<file path=xl/sharedStrings.xml><?xml version="1.0" encoding="utf-8"?>
<sst xmlns="http://schemas.openxmlformats.org/spreadsheetml/2006/main" count="919" uniqueCount="254">
  <si>
    <t>№ п/п</t>
  </si>
  <si>
    <r>
      <t>ОЦ</t>
    </r>
    <r>
      <rPr>
        <vertAlign val="subscript"/>
        <sz val="12"/>
        <color indexed="8"/>
        <rFont val="Times New Roman"/>
        <family val="1"/>
        <charset val="204"/>
      </rPr>
      <t>итоговая</t>
    </r>
  </si>
  <si>
    <t>2</t>
  </si>
  <si>
    <t>3</t>
  </si>
  <si>
    <t>4</t>
  </si>
  <si>
    <t>5</t>
  </si>
  <si>
    <t>1</t>
  </si>
  <si>
    <t>Наименование муниципальной услуги</t>
  </si>
  <si>
    <t>диапазон значений</t>
  </si>
  <si>
    <t>интерпретация</t>
  </si>
  <si>
    <t>значение</t>
  </si>
  <si>
    <t>&gt;100%</t>
  </si>
  <si>
    <t>перевыполнено</t>
  </si>
  <si>
    <t>Показатели качества</t>
  </si>
  <si>
    <t>Показатели объема</t>
  </si>
  <si>
    <t>Среднее значение по социальному обслуживанию</t>
  </si>
  <si>
    <t>МБУСО «ГСРЦН «Росток»</t>
  </si>
  <si>
    <t>МБУ «ГЦСОН «Родник»</t>
  </si>
  <si>
    <t>Предоставление социального обслуживания в форме на дому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 (заочно)</t>
  </si>
  <si>
    <t>МБУСО «Центр «Радуга»</t>
  </si>
  <si>
    <t>МБУСО «ЦСПСиД «Надежда»</t>
  </si>
  <si>
    <t>МБУСО «ЦСПСиД «Доверие»</t>
  </si>
  <si>
    <t>МБУ «КЦСОН Центрального района»</t>
  </si>
  <si>
    <t>МБУ «ЦСО Советского района»</t>
  </si>
  <si>
    <t>МБУ «КЦСОН Свердловского района»</t>
  </si>
  <si>
    <t>МБУ «ЦСО Октябрьского района»</t>
  </si>
  <si>
    <t>МБУ «ЦСО Ленинского района»</t>
  </si>
  <si>
    <t>МБУ «КЦСОН Кировского района»</t>
  </si>
  <si>
    <t>МБУ «ЦСО Железнодорожного района»</t>
  </si>
  <si>
    <t>МБУСО «ЦСПСиД «Октябрьский»</t>
  </si>
  <si>
    <t>МБУСО «ЦСПСиД «Эдельвейс»</t>
  </si>
  <si>
    <t>90%-100%</t>
  </si>
  <si>
    <t>выполнено</t>
  </si>
  <si>
    <t>Наименование оказываемой услуги (выпол-няемой работы)</t>
  </si>
  <si>
    <t>Вариант оказания (выпол-нения)</t>
  </si>
  <si>
    <t>Показатель (качества, объема)</t>
  </si>
  <si>
    <t>Наименование показателя</t>
  </si>
  <si>
    <t>показатель объема</t>
  </si>
  <si>
    <t>Причины отклонения значений от запланированных</t>
  </si>
  <si>
    <t>%</t>
  </si>
  <si>
    <t>ед.</t>
  </si>
  <si>
    <t>укомплектование организации специалистами, оказывающими социальные услуги (определяется ежеквартально как отношение штатных единиц специалистов основного профиля, фактически замещенных (внутреннее и внешнее совместительство), к общему их количеству; при результате: 100% и более - выполнено; от 90% до 100% - в целом выполнено; менее 90% - не выполнено)</t>
  </si>
  <si>
    <t>показатель качества 1</t>
  </si>
  <si>
    <t>показатель качества 2</t>
  </si>
  <si>
    <t>показатель качества 3</t>
  </si>
  <si>
    <t>показатель качества 4</t>
  </si>
  <si>
    <t>показатель качества 5</t>
  </si>
  <si>
    <t>доступность получения социальных услуг в организации (определяется за год по установленным критериям обеспечения доступности как отношение фактически достигнутой суммы баллов к максимально возможной; при результате: 100% и более - выполнено; от 90% до 100% - в целом выполнено; менее 90% - не выполнено)</t>
  </si>
  <si>
    <t>чел.</t>
  </si>
  <si>
    <t>востребованность услуги</t>
  </si>
  <si>
    <t>нарушения отсутствуют</t>
  </si>
  <si>
    <t>=100%</t>
  </si>
  <si>
    <t>Еди-ница
изме-рения</t>
  </si>
  <si>
    <t>Наименование учреждения, оказывающего услугу (выполняю-щего работу)</t>
  </si>
  <si>
    <t>объем услуг</t>
  </si>
  <si>
    <t>в том числе в форме:</t>
  </si>
  <si>
    <t>стационарной</t>
  </si>
  <si>
    <t>полустационарной</t>
  </si>
  <si>
    <t>на дому (очно)</t>
  </si>
  <si>
    <t>Наименование учреждения, услуги</t>
  </si>
  <si>
    <r>
      <t>ОЦ</t>
    </r>
    <r>
      <rPr>
        <vertAlign val="subscript"/>
        <sz val="12"/>
        <rFont val="Times New Roman"/>
        <family val="1"/>
        <charset val="204"/>
      </rPr>
      <t>итоговая</t>
    </r>
  </si>
  <si>
    <t>в том числе:</t>
  </si>
  <si>
    <t>1.1</t>
  </si>
  <si>
    <t>1.2</t>
  </si>
  <si>
    <t>в том числе по услугам:</t>
  </si>
  <si>
    <t>2.1</t>
  </si>
  <si>
    <t>2.2</t>
  </si>
  <si>
    <t>3.1</t>
  </si>
  <si>
    <t>3.2</t>
  </si>
  <si>
    <t>в форме социального обслуживания на дому (очно)</t>
  </si>
  <si>
    <t>3.3</t>
  </si>
  <si>
    <t>в форме социального обслуживания на дому (заочно)</t>
  </si>
  <si>
    <t>4.1</t>
  </si>
  <si>
    <t>4.2</t>
  </si>
  <si>
    <t>4.3</t>
  </si>
  <si>
    <t>5.1</t>
  </si>
  <si>
    <t>5.2</t>
  </si>
  <si>
    <t>5.3</t>
  </si>
  <si>
    <t>6</t>
  </si>
  <si>
    <t>6.1</t>
  </si>
  <si>
    <t>6.2</t>
  </si>
  <si>
    <t>6.3</t>
  </si>
  <si>
    <t>7.</t>
  </si>
  <si>
    <t>7.1</t>
  </si>
  <si>
    <t>7.2</t>
  </si>
  <si>
    <t>7.3</t>
  </si>
  <si>
    <t>8</t>
  </si>
  <si>
    <t>8.1</t>
  </si>
  <si>
    <t>8.2</t>
  </si>
  <si>
    <t>8.3</t>
  </si>
  <si>
    <t>9</t>
  </si>
  <si>
    <t>9.1</t>
  </si>
  <si>
    <t>9.2</t>
  </si>
  <si>
    <t>9.3</t>
  </si>
  <si>
    <t>10</t>
  </si>
  <si>
    <t>10.1</t>
  </si>
  <si>
    <t>10.2</t>
  </si>
  <si>
    <t>10.3</t>
  </si>
  <si>
    <t>11</t>
  </si>
  <si>
    <t>11.1</t>
  </si>
  <si>
    <t>11.2</t>
  </si>
  <si>
    <t>11.3</t>
  </si>
  <si>
    <t>12</t>
  </si>
  <si>
    <t>12.1</t>
  </si>
  <si>
    <t>13</t>
  </si>
  <si>
    <t>13.1</t>
  </si>
  <si>
    <t>13.2</t>
  </si>
  <si>
    <t>13.3</t>
  </si>
  <si>
    <t>14</t>
  </si>
  <si>
    <t>14.1</t>
  </si>
  <si>
    <t>14.2</t>
  </si>
  <si>
    <t>14.3</t>
  </si>
  <si>
    <t>соц.обслуживание в стационарной форме</t>
  </si>
  <si>
    <t>соц.обслуживание в полустационарной форме</t>
  </si>
  <si>
    <t>соц.обслуживание на дому (очно)</t>
  </si>
  <si>
    <t>услуга</t>
  </si>
  <si>
    <t>предоставление социального обслуживания в стационарной форме</t>
  </si>
  <si>
    <t>предоставление социального обслуживания в полустационарной форме</t>
  </si>
  <si>
    <t>предоставление социального обслуживания в форме на дому</t>
  </si>
  <si>
    <t>Предоставление социального обслуживания в стационарной форме</t>
  </si>
  <si>
    <t>Предоставление социального обслуживания в полустационарной форме</t>
  </si>
  <si>
    <t>Предоставление социального обслуживания в форме на дому</t>
  </si>
  <si>
    <t>занято 80 ед. из 80 штатных ед.</t>
  </si>
  <si>
    <t>занято 38 ед. из 42 штатных ед.</t>
  </si>
  <si>
    <t>отсутствовало движение получателей соц.услуг в связи с более длительным пребыванием</t>
  </si>
  <si>
    <t>план на год по Программе</t>
  </si>
  <si>
    <t>Оценка итоговая
Оцитоговая</t>
  </si>
  <si>
    <t>Заключение о выполнении муниципаль-ного задания муниципаль-ным учреждением</t>
  </si>
  <si>
    <r>
      <rPr>
        <sz val="12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Указывается промежуточное плановое значение показателя исходя из распределения утвержденного в муниципальном задании годового значения показателя по кварталам нарастающим итогом</t>
    </r>
  </si>
  <si>
    <r>
      <t xml:space="preserve">Значение, утвержденное в муниципаль-ном задании на год
(К1плi, К2плi) </t>
    </r>
    <r>
      <rPr>
        <sz val="12"/>
        <rFont val="Times New Roman"/>
        <family val="1"/>
        <charset val="204"/>
      </rPr>
      <t>*</t>
    </r>
  </si>
  <si>
    <r>
      <t xml:space="preserve">Фактическое значение
за год
(К1фi, К2фi) </t>
    </r>
    <r>
      <rPr>
        <sz val="12"/>
        <rFont val="Times New Roman"/>
        <family val="1"/>
        <charset val="204"/>
      </rPr>
      <t>**</t>
    </r>
  </si>
  <si>
    <r>
      <rPr>
        <sz val="12"/>
        <rFont val="Times New Roman"/>
        <family val="1"/>
        <charset val="204"/>
      </rPr>
      <t>**</t>
    </r>
    <r>
      <rPr>
        <sz val="10"/>
        <rFont val="Times New Roman"/>
        <family val="1"/>
        <charset val="204"/>
      </rPr>
      <t xml:space="preserve"> Указывается фактическое значение показателя за отчетный период нарастающим итогом</t>
    </r>
  </si>
  <si>
    <t>доля получателей социальных услуг, получающих социальные услуги, от общего числа получателей социальных услуг, находящихся на социальном обслуживании в организации (определяется ежеквартально как отношение численности получателей социальных услуг, получивших хотя бы одну услугу (в том числе срочную) за отчетный период, к общей численности граждан, заключивших с организацией договор о социальном обслуживании (включая получателей срочных социальных услуг без заключения договора), за отчетный период; при результате: 100% и более - выполнено; от 90% до 100% - в целом выполнено; менее 90% - не выполнено)</t>
  </si>
  <si>
    <t>количество нарушений санитарного законодательства в отчетном году, выявленных при проведении проверок (определяется ежеквартально по количеству нарушений санитарного законодательства, выявленных при проведении проверок в отчетном периоде, за исключением своевременно устраненных и финансовоёмких; при результате: 0ед. - выполнено; не более 5ед. - в целом выполнено; более 5ед. - не выполнено)</t>
  </si>
  <si>
    <t>удовлетворенность получателей социальных услуг в оказанных социальных услугах (определяется за год по итогам ежегодных опросов «Декада качества» и «Неделя качества социальных услуг» как отношение численности получателей социальных услуг, ответивших «положительно» на вопрос о качестве, к общей численности получателей социальных услуг, ответивших на вопрос о качестве; при результате: 100% и более - выполнено; от 90% до 100% - в целом выполнено; менее 90% - не выполнено)</t>
  </si>
  <si>
    <t>показатель качества 6</t>
  </si>
  <si>
    <t>повышение качества социальных услуг и эффективности их оказания (определяется за год как отношение реализованных в полном объеме мероприятий, направленных на совершенствование деятельности организации при предоставлении социального обслуживания, к числу запланированных; при результате: 100% и более - выполнено; от 90% до 100% - в целом выполнено; менее 90% - не выполнено)</t>
  </si>
  <si>
    <t>численность граждан, получивших социальные услуги (определяется ежеквартально по данным, сформированным за отчетный период в информационной системе министерства социальной политики «Регистр получателей социальных услуг Красноярского края»; при результате: 100% и более - выполнено; от 90% до 100% - в целом выполнено; менее 90% - не выполнено)</t>
  </si>
  <si>
    <t>объём зависит от количества направлений органов УВД, опеки, соцзащиты без учета повторных направлений</t>
  </si>
  <si>
    <t>занято 32 ед. из 35,5 штатных ед.</t>
  </si>
  <si>
    <t>занято 85 ед. из 85 штатных ед.</t>
  </si>
  <si>
    <t>занято 71 ед. из 71 штатных ед.</t>
  </si>
  <si>
    <t>занято 2 ед. из 2 штатных ед.</t>
  </si>
  <si>
    <t>Оценка выполнения муниципаль-ными учреждениями муниципаль-ного задания по каждому показателю
(К1i, К2i)</t>
  </si>
  <si>
    <t>Сводная оценка выполнения муниципаль-ными учрежде-ниями муници-пального зада-ния по показа-телям (качества, объема)
(К1, К2)</t>
  </si>
  <si>
    <t>Приложение 2</t>
  </si>
  <si>
    <t>обеспечена доступность на 10 баллов из 10</t>
  </si>
  <si>
    <t>обеспечена доступность на 9,8 баллов из 10</t>
  </si>
  <si>
    <t>обеспечена доступность на 9,4 баллов из 10</t>
  </si>
  <si>
    <t>план 12 мес.</t>
  </si>
  <si>
    <t>факт 12 мес.</t>
  </si>
  <si>
    <t xml:space="preserve">Предварительный отчет об исполнении муниципального задания муниципальными учреждениями социального обслуживания за 2019 год </t>
  </si>
  <si>
    <t>обеспечена доступность на 9,9 баллов из 10</t>
  </si>
  <si>
    <t>выявленные нарушения (19) устранены своевременно</t>
  </si>
  <si>
    <t>занято 22,5 ед. из 24,5 штатных ед. в виду увольнений по собственному желанию; ведется укомплектование</t>
  </si>
  <si>
    <t>обеспечена доступность на 9,2 баллов из 10</t>
  </si>
  <si>
    <t>услуги оказаны 10 получателям из 10 находящихся на соц.обслуживании; предоставляются исключительно по договору</t>
  </si>
  <si>
    <t>услуги оказаны 33 получателям из 33 находящихся на соц.обслуживании; предоставляются исключительно по договору</t>
  </si>
  <si>
    <t>занято 6,5 ед. из 7 штатных ед. в виду увольнений по собственному желанию; ведется укомплектование</t>
  </si>
  <si>
    <t>занято 18,5 ед. из 20 штатных ед.</t>
  </si>
  <si>
    <t>занято 14,5 ед. из 15 штатных ед.</t>
  </si>
  <si>
    <t>обеспечена доступность на 9,6 баллов из 10</t>
  </si>
  <si>
    <t>занято 60 ед. из 60 штатных ед.</t>
  </si>
  <si>
    <t>услуги оказаны 2482 получателям из 2482 находящихся на соц.обслуживании</t>
  </si>
  <si>
    <t>обеспечена доступность на 8,6 баллов из 10</t>
  </si>
  <si>
    <t>12.4</t>
  </si>
  <si>
    <t>177 получателей соцуслуг из 180 опрошенных ответили "+" на вопрос о качестве</t>
  </si>
  <si>
    <t>из 10 запланированных мероприятий выполнено 8</t>
  </si>
  <si>
    <t>занято 16 ед. из 17 штатных ед. в виду увольнений по собственному желанию; ведется укомплектование</t>
  </si>
  <si>
    <t>91 получателей соцуслуг из 95 опрошенных ответили "+" на вопрос о качестве</t>
  </si>
  <si>
    <t>занято 11,5 ед. из 11,5 штатных ед.</t>
  </si>
  <si>
    <t>мероприятия проведены в полном объеме</t>
  </si>
  <si>
    <t>240 получателей соцуслуг из 240 опрошенных ответили "+" на вопрос о качестве</t>
  </si>
  <si>
    <t>занято 45 ед. из 48 штатных ед.</t>
  </si>
  <si>
    <t>381 получателей соцуслуг из 381 опрошенных ответили "+" на вопрос о качестве</t>
  </si>
  <si>
    <t>по итогам года выполнено 100% плана, 22 мероприятия из 22</t>
  </si>
  <si>
    <t>15 получателей соцуслуг из 15 опрошенных ответили "+" на вопрос о качестве</t>
  </si>
  <si>
    <t>по итогам года выполнено 100% плана, 18 мероприятия из 18</t>
  </si>
  <si>
    <t>занято 27 ед. из 29,5 штатных ед. в виду увольнений по собственному желанию; ведется укомплектование</t>
  </si>
  <si>
    <t>по итогам года, выполнено 11 мероприятий из 11</t>
  </si>
  <si>
    <t>занято 57 ед. из 62 штатных ед.</t>
  </si>
  <si>
    <t>выполнено 9 из 9 запланированных</t>
  </si>
  <si>
    <t>25 получателей соцуслуг из 25 опрошенных ответили "+" на вопрос о качестве</t>
  </si>
  <si>
    <t>по итогам года выполнены 7 мероприятий из 7 запланированнызх</t>
  </si>
  <si>
    <t>301 получателей соцуслуг из 301 опрошенных ответили "+" на вопрос о качестве</t>
  </si>
  <si>
    <t>по итогам года выполнено 6 мероприятий из 6 запланированных</t>
  </si>
  <si>
    <t>100 получателей соцуслуг из 100 опрошенных ответили "+" на вопрос о качестве</t>
  </si>
  <si>
    <t>по итогам года выполнено 12 мероприятий из 12 запланированных</t>
  </si>
  <si>
    <t>по итогам года выполнено 10 мероприятий из 10 запланированных</t>
  </si>
  <si>
    <t>занято 34,5 ед. из 38 штатных ед. в виду увольнений по собственному желанию; ведется укомплектование</t>
  </si>
  <si>
    <t>131 получателей соцуслуг из 131 опрошенных ответили "+" на вопрос о качестве</t>
  </si>
  <si>
    <t>по итогам года все мероприятия выполнены в полном объеме</t>
  </si>
  <si>
    <t>занято 27 ед. из 28,5 штатных ед.</t>
  </si>
  <si>
    <t>209 получателей соцуслуг из 209 опрошенных ответили "+" на вопрос о качестве</t>
  </si>
  <si>
    <t>471 получателей соцуслуг из 471 опрошенных ответили "+" на вопрос о качестве</t>
  </si>
  <si>
    <t>104 получателей соцуслуг из 104 опрошенных ответили "+" на вопрос о качестве</t>
  </si>
  <si>
    <t>по итогам года реализовано 9 из 9 мероприятий</t>
  </si>
  <si>
    <t>247 получателей соцуслуг из 247 опрошенных ответили "+" на вопрос о качестве</t>
  </si>
  <si>
    <t>по итогам года реализовано 6 из 6 мероприятий</t>
  </si>
  <si>
    <t>по итогам года выполнен в полном объеме</t>
  </si>
  <si>
    <t>услуги оказаны 343 получателям из 343 находящихся на соц.обслуживании; предоставляются исключительно по договору</t>
  </si>
  <si>
    <t>услуги оказаны 369 получателю из 369 находящегося на соц.обслуживании</t>
  </si>
  <si>
    <t>занято 107,25 ед. из 108,75 штатных ед.</t>
  </si>
  <si>
    <t>55 получателей соцуслуг из 58 опрошенных ответили "+" на вопрос о качестве</t>
  </si>
  <si>
    <t>из 12 запланированных мероприятий выполнено 12</t>
  </si>
  <si>
    <t>обеспечена доступность на 7,9 баллов из 10</t>
  </si>
  <si>
    <t>55 получателей соцуслуг из 57 опрошенных ответили "+" на вопрос о качестве</t>
  </si>
  <si>
    <t>из 14 запланированных мероприятий выполнено 14</t>
  </si>
  <si>
    <t>148 получателей соцуслуг из 148 опрошенных ответили "+" на вопрос о качестве</t>
  </si>
  <si>
    <t>обеспечена доступность на 9,3 баллов из 10</t>
  </si>
  <si>
    <t>услуги оказаны 2044получателям из 2044 находящихся на соц.обслуживании, 3 получателя получили срочную социальную услугу</t>
  </si>
  <si>
    <t>1 получатель соцуслуг из 1 опрошенного ответили "+" на вопрос о качестве</t>
  </si>
  <si>
    <t>239 получателей соцуслуг из 239 опрошенных ответили "+" на вопрос о качестве</t>
  </si>
  <si>
    <t>услуги оказаны 2877 получателям из 2874 находящихся на соц.обслуживании</t>
  </si>
  <si>
    <t>обеспечена доступность на 8,8 баллов из 10</t>
  </si>
  <si>
    <t>услуги оказаны 2002 получателям из 2002 находящихся на соц.обслуживании</t>
  </si>
  <si>
    <t>услуги оказаны 210 получателям из 210 находящихся на соц.обслуживании; предоставляются исключительно по договору</t>
  </si>
  <si>
    <t>услуги оказаны 1069 получателям из 1069 находящихся на соц.обслуживании</t>
  </si>
  <si>
    <t>занято 73,5 ед. из 76,5 штатных ед.</t>
  </si>
  <si>
    <t>65 получателей соцуслуг из 67 опрошенных ответили "+" на вопрос о качестве</t>
  </si>
  <si>
    <t>по итогам года выполнено 100% плана, 7 мероприятия из 7</t>
  </si>
  <si>
    <t>по итогам года выполнено 100% плана, 2 мероприятия из 2</t>
  </si>
  <si>
    <t>обеспечена доступность на 8 баллов из 10</t>
  </si>
  <si>
    <t>услуги оказаны 822 получателю из 822 находящегося на соц.обслуживании; предоставляются исключительно по договору</t>
  </si>
  <si>
    <t>услуги оказаны 1934 получателям из 1934 находящихся на соц.обслуживании</t>
  </si>
  <si>
    <t>103 получателей соцуслуг из 103 опрошенных ответили "+" на вопрос о качестве</t>
  </si>
  <si>
    <t>услуги оказаны 1104 получателям из 1104 находящихся на соц.обслуживании; предоставляются исключительно по договору</t>
  </si>
  <si>
    <t>услуги оказаны 2387 получателям из 2387 находящихся на соц.обслуживании</t>
  </si>
  <si>
    <t>75 получателей соцуслуг из 75 опрошенных ответили "+" на вопрос о качестве</t>
  </si>
  <si>
    <t>287 получателей соцуслуг из 287 опрошенных ответили "+" на вопрос о качестве</t>
  </si>
  <si>
    <t>обеспечена доступность на 9,36 баллов из 10</t>
  </si>
  <si>
    <t>услуги оказаны 372 получателям из 372 находящихся на соц.обслуживании; предоставляются исключительно по договору</t>
  </si>
  <si>
    <t>услуги оказаны 865 получателям из 865 находящихся на соц.обслуживании; предоставляются исключительно по договору</t>
  </si>
  <si>
    <t>услуги оказаны 1202 получателю из 1202 находящегося на соц.обслуживании</t>
  </si>
  <si>
    <t>98 получателей соцуслуг из 100 опрошенных ответили "+" на вопрос о качестве</t>
  </si>
  <si>
    <t>услуги оказаны 1134 получателям из 1134 находящихся на соц.обслуживании; предоставляются исключительно по договору</t>
  </si>
  <si>
    <t>298 получателей соцуслуг из 298 опрошенных ответили "+" на вопрос о качестве</t>
  </si>
  <si>
    <t>услуги оказаны 1651 получателям из 1651 находящихся на соц.обслуживании</t>
  </si>
  <si>
    <t>услуги оказаны 1211 получателям из 1211 находящихся на соц.обслуживании; предоставляются исключительно по договору</t>
  </si>
  <si>
    <t>занято 78 ед. из 80 штатных ед.</t>
  </si>
  <si>
    <t>услуги оказаны 2260 получателям из 2260 находящихся на соц.обслуживании</t>
  </si>
  <si>
    <t>услуги оказаны 899 получателям из 899 находящихся на соц.обслуживании; предоставляются исключительно по договору</t>
  </si>
  <si>
    <t>занято 36,5 ед. из 38,5 штатных ед.</t>
  </si>
  <si>
    <t>занято 80 ед. из 82 штатных ед.</t>
  </si>
  <si>
    <t>обеспечена доступность на 9,867 баллов из 10</t>
  </si>
  <si>
    <t>услуги оказаны 1514 получателям из 1514 находящихся на соц.обслуживании</t>
  </si>
  <si>
    <t>услуги оказаны 1203 получателям из 1203 находящихся на соц.обслуживании; предоставляются исключительно по договору</t>
  </si>
  <si>
    <t>услуги оказаны 708 получателям из 708 находящихся на соц.обслуживании</t>
  </si>
  <si>
    <t>услуги оказаны 2112 получателям из 2112 находящихся на соц.обслуживании</t>
  </si>
  <si>
    <t>занято 59,5 ед. из 63,5 штатных ед.</t>
  </si>
  <si>
    <t>занято 1 ед. из 1 штатных ед.</t>
  </si>
  <si>
    <t>427 получателей соцуслуг из 437 опрошенных ответили "+" на вопрос о качестве</t>
  </si>
  <si>
    <t>Оценка выполнения муниципального задания в разрезе муниципальных учреждений социального обслуживания города Красноярска                                                                        за 12 месяцев 2019 года</t>
  </si>
  <si>
    <t>Анализ выполнения муниципального задания по формам социального обслуживания за 12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</si>
</sst>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charset val="204"/>
      <scheme val="minor"/>
    </font>
    <font>
      <vertAlign val="subscript"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9.5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2" fillId="0" borderId="0" xfId="0" applyFont="1" applyFill="1" applyAlignment="1">
      <alignment vertical="top"/>
    </xf>
    <xf numFmtId="49" fontId="13" fillId="0" borderId="1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right" vertical="top"/>
    </xf>
    <xf numFmtId="0" fontId="16" fillId="0" borderId="0" xfId="0" applyFont="1" applyFill="1" applyAlignment="1">
      <alignment vertical="top"/>
    </xf>
    <xf numFmtId="0" fontId="12" fillId="0" borderId="0" xfId="0" applyFont="1" applyFill="1"/>
    <xf numFmtId="0" fontId="0" fillId="0" borderId="0" xfId="0" applyFill="1"/>
    <xf numFmtId="0" fontId="16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8" fillId="0" borderId="0" xfId="0" applyFont="1"/>
    <xf numFmtId="0" fontId="1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Alignment="1">
      <alignment horizontal="right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18" fillId="0" borderId="0" xfId="0" applyFont="1" applyFill="1"/>
    <xf numFmtId="0" fontId="10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19" fillId="0" borderId="0" xfId="0" applyFont="1" applyFill="1" applyAlignment="1">
      <alignment vertical="top"/>
    </xf>
    <xf numFmtId="0" fontId="18" fillId="0" borderId="0" xfId="0" applyFont="1" applyFill="1" applyAlignment="1">
      <alignment vertical="top"/>
    </xf>
    <xf numFmtId="0" fontId="17" fillId="0" borderId="1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10" fontId="7" fillId="0" borderId="1" xfId="0" applyNumberFormat="1" applyFont="1" applyFill="1" applyBorder="1" applyAlignment="1">
      <alignment vertical="top"/>
    </xf>
    <xf numFmtId="10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10" fontId="18" fillId="0" borderId="0" xfId="0" applyNumberFormat="1" applyFont="1" applyFill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10" fontId="9" fillId="0" borderId="0" xfId="0" applyNumberFormat="1" applyFont="1" applyFill="1" applyBorder="1" applyAlignment="1">
      <alignment vertical="top" wrapText="1"/>
    </xf>
    <xf numFmtId="10" fontId="9" fillId="0" borderId="0" xfId="0" applyNumberFormat="1" applyFont="1" applyFill="1" applyBorder="1" applyAlignment="1">
      <alignment vertical="top"/>
    </xf>
    <xf numFmtId="0" fontId="7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left" vertical="top"/>
    </xf>
    <xf numFmtId="3" fontId="4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vertical="top" wrapText="1"/>
    </xf>
    <xf numFmtId="10" fontId="7" fillId="0" borderId="2" xfId="0" applyNumberFormat="1" applyFont="1" applyFill="1" applyBorder="1" applyAlignment="1">
      <alignment vertical="top"/>
    </xf>
    <xf numFmtId="10" fontId="7" fillId="0" borderId="7" xfId="0" applyNumberFormat="1" applyFont="1" applyFill="1" applyBorder="1" applyAlignment="1">
      <alignment vertical="top"/>
    </xf>
    <xf numFmtId="0" fontId="19" fillId="0" borderId="7" xfId="0" applyFont="1" applyFill="1" applyBorder="1" applyAlignment="1">
      <alignment vertical="top"/>
    </xf>
    <xf numFmtId="0" fontId="19" fillId="0" borderId="3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20" fillId="0" borderId="7" xfId="0" applyFont="1" applyFill="1" applyBorder="1" applyAlignment="1">
      <alignment vertical="top" wrapText="1"/>
    </xf>
    <xf numFmtId="0" fontId="20" fillId="0" borderId="3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18" fillId="0" borderId="7" xfId="0" applyFont="1" applyFill="1" applyBorder="1" applyAlignment="1">
      <alignment vertical="top" wrapText="1"/>
    </xf>
    <xf numFmtId="10" fontId="7" fillId="0" borderId="3" xfId="0" applyNumberFormat="1" applyFont="1" applyFill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9"/>
  <sheetViews>
    <sheetView tabSelected="1" zoomScale="90" zoomScaleNormal="90" workbookViewId="0">
      <pane xSplit="5" ySplit="5" topLeftCell="G30" activePane="bottomRight" state="frozen"/>
      <selection pane="topRight" activeCell="F1" sqref="F1"/>
      <selection pane="bottomLeft" activeCell="A8" sqref="A8"/>
      <selection pane="bottomRight" activeCell="H33" sqref="H33"/>
    </sheetView>
  </sheetViews>
  <sheetFormatPr defaultColWidth="9.109375" defaultRowHeight="14.4" x14ac:dyDescent="0.3"/>
  <cols>
    <col min="1" max="1" width="12.5546875" style="46" customWidth="1"/>
    <col min="2" max="2" width="13.44140625" style="46" customWidth="1"/>
    <col min="3" max="3" width="8.109375" style="46" customWidth="1"/>
    <col min="4" max="4" width="10.5546875" style="46" customWidth="1"/>
    <col min="5" max="5" width="61.5546875" style="46" customWidth="1"/>
    <col min="6" max="6" width="6.109375" style="46" customWidth="1"/>
    <col min="7" max="7" width="11.88671875" style="46" customWidth="1"/>
    <col min="8" max="8" width="10.5546875" style="46" customWidth="1"/>
    <col min="9" max="9" width="12.33203125" style="46" customWidth="1"/>
    <col min="10" max="10" width="13.33203125" style="46" customWidth="1"/>
    <col min="11" max="11" width="12.109375" style="46" customWidth="1"/>
    <col min="12" max="12" width="11.6640625" style="46" customWidth="1"/>
    <col min="13" max="13" width="21.33203125" style="46" customWidth="1"/>
    <col min="14" max="54" width="9.109375" style="46"/>
    <col min="55" max="16384" width="9.109375" style="19"/>
  </cols>
  <sheetData>
    <row r="1" spans="1:54" s="21" customFormat="1" ht="13.8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53" t="s">
        <v>145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1:54" s="20" customFormat="1" ht="18" x14ac:dyDescent="0.3">
      <c r="A2" s="87" t="s">
        <v>151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</row>
    <row r="3" spans="1:54" s="16" customFormat="1" ht="13.2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</row>
    <row r="4" spans="1:54" s="51" customFormat="1" ht="139.5" customHeight="1" x14ac:dyDescent="0.3">
      <c r="A4" s="24" t="s">
        <v>53</v>
      </c>
      <c r="B4" s="24" t="s">
        <v>33</v>
      </c>
      <c r="C4" s="24" t="s">
        <v>34</v>
      </c>
      <c r="D4" s="24" t="s">
        <v>35</v>
      </c>
      <c r="E4" s="24" t="s">
        <v>36</v>
      </c>
      <c r="F4" s="24" t="s">
        <v>52</v>
      </c>
      <c r="G4" s="24" t="s">
        <v>129</v>
      </c>
      <c r="H4" s="24" t="s">
        <v>130</v>
      </c>
      <c r="I4" s="24" t="s">
        <v>143</v>
      </c>
      <c r="J4" s="24" t="s">
        <v>144</v>
      </c>
      <c r="K4" s="24" t="s">
        <v>126</v>
      </c>
      <c r="L4" s="24" t="s">
        <v>127</v>
      </c>
      <c r="M4" s="24" t="s">
        <v>38</v>
      </c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</row>
    <row r="5" spans="1:54" s="52" customFormat="1" ht="10.199999999999999" x14ac:dyDescent="0.3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</row>
    <row r="6" spans="1:54" s="51" customFormat="1" ht="106.5" customHeight="1" x14ac:dyDescent="0.3">
      <c r="A6" s="80" t="s">
        <v>17</v>
      </c>
      <c r="B6" s="84" t="s">
        <v>116</v>
      </c>
      <c r="C6" s="72" t="s">
        <v>115</v>
      </c>
      <c r="D6" s="58" t="s">
        <v>42</v>
      </c>
      <c r="E6" s="59" t="s">
        <v>132</v>
      </c>
      <c r="F6" s="24" t="s">
        <v>39</v>
      </c>
      <c r="G6" s="60">
        <v>1</v>
      </c>
      <c r="H6" s="60">
        <f>H12/H12</f>
        <v>1</v>
      </c>
      <c r="I6" s="61">
        <f>ROUND(IF(H6/G6&gt;100%,100%,H6/G6),0)</f>
        <v>1</v>
      </c>
      <c r="J6" s="73">
        <f>(I6+I7+I8+I9+I10+I11)/6</f>
        <v>0.96666666666666667</v>
      </c>
      <c r="K6" s="73">
        <f>(J6+J12)/2</f>
        <v>0.98333333333333339</v>
      </c>
      <c r="L6" s="90" t="str">
        <f>IF(K6&lt;90%,"не выполнено",IF(K6&lt;100%,"в целом выполнено","выполнено"))</f>
        <v>в целом выполнено</v>
      </c>
      <c r="M6" s="58" t="s">
        <v>200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</row>
    <row r="7" spans="1:54" s="51" customFormat="1" ht="78.75" customHeight="1" x14ac:dyDescent="0.3">
      <c r="A7" s="81"/>
      <c r="B7" s="85"/>
      <c r="C7" s="72"/>
      <c r="D7" s="58" t="s">
        <v>43</v>
      </c>
      <c r="E7" s="59" t="s">
        <v>133</v>
      </c>
      <c r="F7" s="24" t="s">
        <v>40</v>
      </c>
      <c r="G7" s="62">
        <v>0</v>
      </c>
      <c r="H7" s="62">
        <f>17-3-14</f>
        <v>0</v>
      </c>
      <c r="I7" s="60">
        <f>IF(H7=0,100%,IF(H7=1,98%,IF(H7=2,96%,IF(H7=3,94%,IF(H7=4,92%,IF(H7=5,90%,89.9%))))))</f>
        <v>1</v>
      </c>
      <c r="J7" s="74"/>
      <c r="K7" s="74"/>
      <c r="L7" s="90"/>
      <c r="M7" s="58" t="s">
        <v>50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</row>
    <row r="8" spans="1:54" s="51" customFormat="1" ht="65.25" customHeight="1" x14ac:dyDescent="0.3">
      <c r="A8" s="81"/>
      <c r="B8" s="85"/>
      <c r="C8" s="72"/>
      <c r="D8" s="58" t="s">
        <v>44</v>
      </c>
      <c r="E8" s="59" t="s">
        <v>41</v>
      </c>
      <c r="F8" s="24" t="s">
        <v>39</v>
      </c>
      <c r="G8" s="61">
        <v>0.9</v>
      </c>
      <c r="H8" s="61">
        <f>59.5/63.5</f>
        <v>0.93700787401574803</v>
      </c>
      <c r="I8" s="61">
        <f>IF(H8&lt;90%,89.9%,100%)</f>
        <v>1</v>
      </c>
      <c r="J8" s="74"/>
      <c r="K8" s="74"/>
      <c r="L8" s="90"/>
      <c r="M8" s="58" t="s">
        <v>249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</row>
    <row r="9" spans="1:54" s="51" customFormat="1" ht="90.75" customHeight="1" x14ac:dyDescent="0.3">
      <c r="A9" s="81"/>
      <c r="B9" s="85"/>
      <c r="C9" s="72"/>
      <c r="D9" s="58" t="s">
        <v>45</v>
      </c>
      <c r="E9" s="59" t="s">
        <v>134</v>
      </c>
      <c r="F9" s="24" t="s">
        <v>39</v>
      </c>
      <c r="G9" s="61">
        <v>0.9</v>
      </c>
      <c r="H9" s="61">
        <f>177/180*100%</f>
        <v>0.98333333333333328</v>
      </c>
      <c r="I9" s="61">
        <f>IF(H9/G9&gt;100%,100%,H9/G9)</f>
        <v>1</v>
      </c>
      <c r="J9" s="74"/>
      <c r="K9" s="74"/>
      <c r="L9" s="90"/>
      <c r="M9" s="58" t="s">
        <v>166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</row>
    <row r="10" spans="1:54" s="51" customFormat="1" ht="69.75" customHeight="1" x14ac:dyDescent="0.3">
      <c r="A10" s="81"/>
      <c r="B10" s="85"/>
      <c r="C10" s="72"/>
      <c r="D10" s="58" t="s">
        <v>46</v>
      </c>
      <c r="E10" s="59" t="s">
        <v>136</v>
      </c>
      <c r="F10" s="24" t="s">
        <v>39</v>
      </c>
      <c r="G10" s="61">
        <v>1</v>
      </c>
      <c r="H10" s="61">
        <v>0.8</v>
      </c>
      <c r="I10" s="61">
        <f>IF(H10/G10&gt;100%,100%,H10/G10)</f>
        <v>0.8</v>
      </c>
      <c r="J10" s="74"/>
      <c r="K10" s="74"/>
      <c r="L10" s="90"/>
      <c r="M10" s="58" t="s">
        <v>167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</row>
    <row r="11" spans="1:54" s="51" customFormat="1" ht="55.5" customHeight="1" x14ac:dyDescent="0.3">
      <c r="A11" s="81"/>
      <c r="B11" s="85"/>
      <c r="C11" s="72"/>
      <c r="D11" s="58" t="s">
        <v>135</v>
      </c>
      <c r="E11" s="59" t="s">
        <v>47</v>
      </c>
      <c r="F11" s="24" t="s">
        <v>39</v>
      </c>
      <c r="G11" s="61">
        <v>0.99</v>
      </c>
      <c r="H11" s="61">
        <v>1</v>
      </c>
      <c r="I11" s="61">
        <f>IF(H11/G11&gt;100%,100%,H11/G11)</f>
        <v>1</v>
      </c>
      <c r="J11" s="86"/>
      <c r="K11" s="74"/>
      <c r="L11" s="90"/>
      <c r="M11" s="58" t="s">
        <v>146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</row>
    <row r="12" spans="1:54" s="51" customFormat="1" ht="66.75" customHeight="1" x14ac:dyDescent="0.3">
      <c r="A12" s="81"/>
      <c r="B12" s="85"/>
      <c r="C12" s="72"/>
      <c r="D12" s="58" t="s">
        <v>37</v>
      </c>
      <c r="E12" s="59" t="s">
        <v>137</v>
      </c>
      <c r="F12" s="24" t="s">
        <v>48</v>
      </c>
      <c r="G12" s="63">
        <v>340</v>
      </c>
      <c r="H12" s="63">
        <v>343</v>
      </c>
      <c r="I12" s="61">
        <f>IF(H12/G12&gt;100%,100%,H12/G12)</f>
        <v>1</v>
      </c>
      <c r="J12" s="61">
        <f>I12</f>
        <v>1</v>
      </c>
      <c r="K12" s="86"/>
      <c r="L12" s="90"/>
      <c r="M12" s="58" t="s">
        <v>49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</row>
    <row r="13" spans="1:54" s="51" customFormat="1" ht="106.5" customHeight="1" x14ac:dyDescent="0.3">
      <c r="A13" s="81"/>
      <c r="B13" s="84" t="s">
        <v>117</v>
      </c>
      <c r="C13" s="72" t="s">
        <v>115</v>
      </c>
      <c r="D13" s="58" t="s">
        <v>42</v>
      </c>
      <c r="E13" s="59" t="s">
        <v>132</v>
      </c>
      <c r="F13" s="24" t="s">
        <v>39</v>
      </c>
      <c r="G13" s="60">
        <v>1</v>
      </c>
      <c r="H13" s="60">
        <f>H19/(H19)</f>
        <v>1</v>
      </c>
      <c r="I13" s="61">
        <f>IF(H13/G13&gt;100%,100%,H13/G13)</f>
        <v>1</v>
      </c>
      <c r="J13" s="73">
        <f>(I13+I14+I15+I16+I17+I18)/6</f>
        <v>1</v>
      </c>
      <c r="K13" s="73">
        <f>(J13+J19)/2</f>
        <v>1</v>
      </c>
      <c r="L13" s="90" t="str">
        <f>IF(K13&lt;90%,"не выполнено",IF(K13&lt;100%,"в целом выполнено","выполнено"))</f>
        <v>выполнено</v>
      </c>
      <c r="M13" s="58" t="s">
        <v>201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</row>
    <row r="14" spans="1:54" s="51" customFormat="1" ht="78.75" customHeight="1" x14ac:dyDescent="0.3">
      <c r="A14" s="81"/>
      <c r="B14" s="85"/>
      <c r="C14" s="72"/>
      <c r="D14" s="58" t="s">
        <v>43</v>
      </c>
      <c r="E14" s="59" t="s">
        <v>133</v>
      </c>
      <c r="F14" s="24" t="s">
        <v>40</v>
      </c>
      <c r="G14" s="62">
        <v>0</v>
      </c>
      <c r="H14" s="62">
        <f>17-3-14</f>
        <v>0</v>
      </c>
      <c r="I14" s="60">
        <f>IF(H14=0,100%,IF(H14=1,98%,IF(H14=2,96%,IF(H14=3,94%,IF(H14=4,92%,IF(H14=5,90%,89.9%))))))</f>
        <v>1</v>
      </c>
      <c r="J14" s="74"/>
      <c r="K14" s="74"/>
      <c r="L14" s="90"/>
      <c r="M14" s="58" t="s">
        <v>50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</row>
    <row r="15" spans="1:54" s="51" customFormat="1" ht="79.5" customHeight="1" x14ac:dyDescent="0.3">
      <c r="A15" s="81"/>
      <c r="B15" s="85"/>
      <c r="C15" s="72"/>
      <c r="D15" s="58" t="s">
        <v>44</v>
      </c>
      <c r="E15" s="59" t="s">
        <v>41</v>
      </c>
      <c r="F15" s="24" t="s">
        <v>39</v>
      </c>
      <c r="G15" s="61">
        <v>0.9</v>
      </c>
      <c r="H15" s="61">
        <f>16/17</f>
        <v>0.94117647058823528</v>
      </c>
      <c r="I15" s="61">
        <f>IF(H15&lt;90%,89.9%,100%)</f>
        <v>1</v>
      </c>
      <c r="J15" s="74"/>
      <c r="K15" s="74"/>
      <c r="L15" s="90"/>
      <c r="M15" s="58" t="s">
        <v>168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</row>
    <row r="16" spans="1:54" s="51" customFormat="1" ht="90.75" customHeight="1" x14ac:dyDescent="0.3">
      <c r="A16" s="81"/>
      <c r="B16" s="85"/>
      <c r="C16" s="72"/>
      <c r="D16" s="58" t="s">
        <v>45</v>
      </c>
      <c r="E16" s="59" t="s">
        <v>134</v>
      </c>
      <c r="F16" s="24" t="s">
        <v>39</v>
      </c>
      <c r="G16" s="61">
        <v>0.9</v>
      </c>
      <c r="H16" s="61">
        <f>91/95</f>
        <v>0.95789473684210524</v>
      </c>
      <c r="I16" s="61">
        <f>IF(H16/G16&gt;100%,100%,H16/G16)</f>
        <v>1</v>
      </c>
      <c r="J16" s="74"/>
      <c r="K16" s="74"/>
      <c r="L16" s="90"/>
      <c r="M16" s="58" t="s">
        <v>169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</row>
    <row r="17" spans="1:54" s="51" customFormat="1" ht="69.75" customHeight="1" x14ac:dyDescent="0.3">
      <c r="A17" s="81"/>
      <c r="B17" s="85"/>
      <c r="C17" s="72"/>
      <c r="D17" s="58" t="s">
        <v>46</v>
      </c>
      <c r="E17" s="59" t="s">
        <v>136</v>
      </c>
      <c r="F17" s="24" t="s">
        <v>39</v>
      </c>
      <c r="G17" s="61">
        <v>1</v>
      </c>
      <c r="H17" s="61">
        <v>1</v>
      </c>
      <c r="I17" s="61">
        <f>IF(H17/G17&gt;100%,100%,H17/G17)</f>
        <v>1</v>
      </c>
      <c r="J17" s="74"/>
      <c r="K17" s="74"/>
      <c r="L17" s="90"/>
      <c r="M17" s="58" t="s">
        <v>167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</row>
    <row r="18" spans="1:54" s="51" customFormat="1" ht="55.5" customHeight="1" x14ac:dyDescent="0.3">
      <c r="A18" s="81"/>
      <c r="B18" s="85"/>
      <c r="C18" s="72"/>
      <c r="D18" s="58" t="s">
        <v>135</v>
      </c>
      <c r="E18" s="59" t="s">
        <v>47</v>
      </c>
      <c r="F18" s="24" t="s">
        <v>39</v>
      </c>
      <c r="G18" s="61">
        <v>0.99</v>
      </c>
      <c r="H18" s="61">
        <v>1</v>
      </c>
      <c r="I18" s="61">
        <f>IF(H18/G18&gt;100%,100%,H18/G18)</f>
        <v>1</v>
      </c>
      <c r="J18" s="86"/>
      <c r="K18" s="74"/>
      <c r="L18" s="90"/>
      <c r="M18" s="58" t="s">
        <v>146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</row>
    <row r="19" spans="1:54" s="51" customFormat="1" ht="66.75" customHeight="1" x14ac:dyDescent="0.3">
      <c r="A19" s="89"/>
      <c r="B19" s="85"/>
      <c r="C19" s="72"/>
      <c r="D19" s="58" t="s">
        <v>37</v>
      </c>
      <c r="E19" s="59" t="s">
        <v>137</v>
      </c>
      <c r="F19" s="24" t="s">
        <v>48</v>
      </c>
      <c r="G19" s="63">
        <v>365</v>
      </c>
      <c r="H19" s="63">
        <v>369</v>
      </c>
      <c r="I19" s="61">
        <f t="shared" ref="I19:I33" si="0">IF(H19/G19&gt;100%,100%,H19/G19)</f>
        <v>1</v>
      </c>
      <c r="J19" s="61">
        <f>I19</f>
        <v>1</v>
      </c>
      <c r="K19" s="86"/>
      <c r="L19" s="90"/>
      <c r="M19" s="58" t="s">
        <v>124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</row>
    <row r="20" spans="1:54" s="51" customFormat="1" ht="106.5" customHeight="1" x14ac:dyDescent="0.3">
      <c r="A20" s="80" t="s">
        <v>16</v>
      </c>
      <c r="B20" s="84" t="s">
        <v>116</v>
      </c>
      <c r="C20" s="72" t="s">
        <v>115</v>
      </c>
      <c r="D20" s="58" t="s">
        <v>42</v>
      </c>
      <c r="E20" s="59" t="s">
        <v>132</v>
      </c>
      <c r="F20" s="24" t="s">
        <v>39</v>
      </c>
      <c r="G20" s="60">
        <v>1</v>
      </c>
      <c r="H20" s="60">
        <f>H26/H26</f>
        <v>1</v>
      </c>
      <c r="I20" s="61">
        <f t="shared" si="0"/>
        <v>1</v>
      </c>
      <c r="J20" s="73">
        <f>(I20+I21+I22+I23+I24+I25)/6</f>
        <v>1</v>
      </c>
      <c r="K20" s="73">
        <f>(J20+J26)/2</f>
        <v>1</v>
      </c>
      <c r="L20" s="90" t="str">
        <f>IF(K20&lt;90%,"не выполнено",IF(K20&lt;100%,"в целом выполнено","выполнено"))</f>
        <v>выполнено</v>
      </c>
      <c r="M20" s="58" t="s">
        <v>231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</row>
    <row r="21" spans="1:54" s="51" customFormat="1" ht="78.75" customHeight="1" x14ac:dyDescent="0.3">
      <c r="A21" s="81"/>
      <c r="B21" s="85"/>
      <c r="C21" s="72"/>
      <c r="D21" s="58" t="s">
        <v>43</v>
      </c>
      <c r="E21" s="59" t="s">
        <v>133</v>
      </c>
      <c r="F21" s="24" t="s">
        <v>40</v>
      </c>
      <c r="G21" s="62">
        <v>0</v>
      </c>
      <c r="H21" s="62">
        <v>0</v>
      </c>
      <c r="I21" s="60">
        <f>IF(H21=0,100%,IF(H21=1,98%,IF(H21=2,96%,IF(H21=3,94%,IF(H21=4,92%,IF(H21=5,90%,89.9%))))))</f>
        <v>1</v>
      </c>
      <c r="J21" s="74"/>
      <c r="K21" s="74"/>
      <c r="L21" s="90"/>
      <c r="M21" s="58" t="s">
        <v>153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</row>
    <row r="22" spans="1:54" s="51" customFormat="1" ht="65.25" customHeight="1" x14ac:dyDescent="0.3">
      <c r="A22" s="81"/>
      <c r="B22" s="85"/>
      <c r="C22" s="72"/>
      <c r="D22" s="58" t="s">
        <v>44</v>
      </c>
      <c r="E22" s="59" t="s">
        <v>41</v>
      </c>
      <c r="F22" s="24" t="s">
        <v>39</v>
      </c>
      <c r="G22" s="61">
        <v>0.9</v>
      </c>
      <c r="H22" s="61">
        <f>107.25/108.75</f>
        <v>0.98620689655172411</v>
      </c>
      <c r="I22" s="61">
        <f>IF(H22&lt;90%,89.9%,100%)</f>
        <v>1</v>
      </c>
      <c r="J22" s="74"/>
      <c r="K22" s="74"/>
      <c r="L22" s="90"/>
      <c r="M22" s="58" t="s">
        <v>202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</row>
    <row r="23" spans="1:54" s="51" customFormat="1" ht="90.75" customHeight="1" x14ac:dyDescent="0.3">
      <c r="A23" s="81"/>
      <c r="B23" s="85"/>
      <c r="C23" s="72"/>
      <c r="D23" s="58" t="s">
        <v>45</v>
      </c>
      <c r="E23" s="59" t="s">
        <v>134</v>
      </c>
      <c r="F23" s="24" t="s">
        <v>39</v>
      </c>
      <c r="G23" s="61">
        <v>0.9</v>
      </c>
      <c r="H23" s="61">
        <f>55/58</f>
        <v>0.94827586206896552</v>
      </c>
      <c r="I23" s="61">
        <f t="shared" si="0"/>
        <v>1</v>
      </c>
      <c r="J23" s="74"/>
      <c r="K23" s="74"/>
      <c r="L23" s="90"/>
      <c r="M23" s="58" t="s">
        <v>203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</row>
    <row r="24" spans="1:54" s="51" customFormat="1" ht="69.75" customHeight="1" x14ac:dyDescent="0.3">
      <c r="A24" s="81"/>
      <c r="B24" s="85"/>
      <c r="C24" s="72"/>
      <c r="D24" s="58" t="s">
        <v>46</v>
      </c>
      <c r="E24" s="59" t="s">
        <v>136</v>
      </c>
      <c r="F24" s="24" t="s">
        <v>39</v>
      </c>
      <c r="G24" s="61">
        <v>1</v>
      </c>
      <c r="H24" s="61">
        <v>1</v>
      </c>
      <c r="I24" s="61">
        <f t="shared" si="0"/>
        <v>1</v>
      </c>
      <c r="J24" s="74"/>
      <c r="K24" s="74"/>
      <c r="L24" s="90"/>
      <c r="M24" s="58" t="s">
        <v>204</v>
      </c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</row>
    <row r="25" spans="1:54" s="51" customFormat="1" ht="55.5" customHeight="1" x14ac:dyDescent="0.3">
      <c r="A25" s="81"/>
      <c r="B25" s="85"/>
      <c r="C25" s="72"/>
      <c r="D25" s="58" t="s">
        <v>135</v>
      </c>
      <c r="E25" s="59" t="s">
        <v>47</v>
      </c>
      <c r="F25" s="24" t="s">
        <v>39</v>
      </c>
      <c r="G25" s="61">
        <f>6.5/10</f>
        <v>0.65</v>
      </c>
      <c r="H25" s="61">
        <v>0.79</v>
      </c>
      <c r="I25" s="61">
        <f t="shared" si="0"/>
        <v>1</v>
      </c>
      <c r="J25" s="86"/>
      <c r="K25" s="74"/>
      <c r="L25" s="90"/>
      <c r="M25" s="58" t="s">
        <v>205</v>
      </c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</row>
    <row r="26" spans="1:54" s="51" customFormat="1" ht="79.8" customHeight="1" x14ac:dyDescent="0.3">
      <c r="A26" s="81"/>
      <c r="B26" s="85"/>
      <c r="C26" s="72"/>
      <c r="D26" s="58" t="s">
        <v>37</v>
      </c>
      <c r="E26" s="59" t="s">
        <v>137</v>
      </c>
      <c r="F26" s="24" t="s">
        <v>48</v>
      </c>
      <c r="G26" s="63">
        <v>340</v>
      </c>
      <c r="H26" s="63">
        <v>372</v>
      </c>
      <c r="I26" s="61">
        <f t="shared" si="0"/>
        <v>1</v>
      </c>
      <c r="J26" s="61">
        <f>I26</f>
        <v>1</v>
      </c>
      <c r="K26" s="86"/>
      <c r="L26" s="90"/>
      <c r="M26" s="58" t="s">
        <v>138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</row>
    <row r="27" spans="1:54" s="51" customFormat="1" ht="106.5" customHeight="1" x14ac:dyDescent="0.3">
      <c r="A27" s="81"/>
      <c r="B27" s="84" t="s">
        <v>117</v>
      </c>
      <c r="C27" s="72" t="s">
        <v>115</v>
      </c>
      <c r="D27" s="58" t="s">
        <v>42</v>
      </c>
      <c r="E27" s="59" t="s">
        <v>132</v>
      </c>
      <c r="F27" s="24" t="s">
        <v>39</v>
      </c>
      <c r="G27" s="60">
        <v>1</v>
      </c>
      <c r="H27" s="60">
        <f>H33/(H33+0)</f>
        <v>1</v>
      </c>
      <c r="I27" s="61">
        <f t="shared" si="0"/>
        <v>1</v>
      </c>
      <c r="J27" s="73">
        <f>(I27+I28+I29+I30+I31+I32)/6</f>
        <v>1</v>
      </c>
      <c r="K27" s="73">
        <f>(J27+J33)/2</f>
        <v>1</v>
      </c>
      <c r="L27" s="90" t="str">
        <f>IF(K27&lt;90%,"не выполнено",IF(K27&lt;100%,"в целом выполнено","выполнено"))</f>
        <v>выполнено</v>
      </c>
      <c r="M27" s="58" t="s">
        <v>247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</row>
    <row r="28" spans="1:54" s="51" customFormat="1" ht="78.75" customHeight="1" x14ac:dyDescent="0.3">
      <c r="A28" s="81"/>
      <c r="B28" s="85"/>
      <c r="C28" s="72"/>
      <c r="D28" s="58" t="s">
        <v>43</v>
      </c>
      <c r="E28" s="59" t="s">
        <v>133</v>
      </c>
      <c r="F28" s="24" t="s">
        <v>40</v>
      </c>
      <c r="G28" s="62">
        <v>0</v>
      </c>
      <c r="H28" s="62">
        <v>0</v>
      </c>
      <c r="I28" s="60">
        <f>IF(H28=0,100%,IF(H28=1,98%,IF(H28=2,96%,IF(H28=3,94%,IF(H28=4,92%,IF(H28=5,90%,89.9%))))))</f>
        <v>1</v>
      </c>
      <c r="J28" s="74"/>
      <c r="K28" s="74"/>
      <c r="L28" s="90"/>
      <c r="M28" s="58" t="s">
        <v>50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</row>
    <row r="29" spans="1:54" s="51" customFormat="1" ht="65.25" customHeight="1" x14ac:dyDescent="0.3">
      <c r="A29" s="81"/>
      <c r="B29" s="85"/>
      <c r="C29" s="72"/>
      <c r="D29" s="58" t="s">
        <v>44</v>
      </c>
      <c r="E29" s="59" t="s">
        <v>41</v>
      </c>
      <c r="F29" s="24" t="s">
        <v>39</v>
      </c>
      <c r="G29" s="61">
        <v>0.9</v>
      </c>
      <c r="H29" s="61">
        <f>11.5/11.5</f>
        <v>1</v>
      </c>
      <c r="I29" s="61">
        <f>IF(H29&lt;90%,89.9%,100%)</f>
        <v>1</v>
      </c>
      <c r="J29" s="74"/>
      <c r="K29" s="74"/>
      <c r="L29" s="90"/>
      <c r="M29" s="58" t="s">
        <v>170</v>
      </c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</row>
    <row r="30" spans="1:54" s="51" customFormat="1" ht="90.75" customHeight="1" x14ac:dyDescent="0.3">
      <c r="A30" s="81"/>
      <c r="B30" s="85"/>
      <c r="C30" s="72"/>
      <c r="D30" s="58" t="s">
        <v>45</v>
      </c>
      <c r="E30" s="59" t="s">
        <v>134</v>
      </c>
      <c r="F30" s="24" t="s">
        <v>39</v>
      </c>
      <c r="G30" s="61">
        <v>0.9</v>
      </c>
      <c r="H30" s="61">
        <f>55/57</f>
        <v>0.96491228070175439</v>
      </c>
      <c r="I30" s="61">
        <f>IF(H30/G30&gt;100%,100%,H30/G30)</f>
        <v>1</v>
      </c>
      <c r="J30" s="74"/>
      <c r="K30" s="74"/>
      <c r="L30" s="90"/>
      <c r="M30" s="58" t="s">
        <v>206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</row>
    <row r="31" spans="1:54" s="51" customFormat="1" ht="69.75" customHeight="1" x14ac:dyDescent="0.3">
      <c r="A31" s="81"/>
      <c r="B31" s="85"/>
      <c r="C31" s="72"/>
      <c r="D31" s="58" t="s">
        <v>46</v>
      </c>
      <c r="E31" s="59" t="s">
        <v>136</v>
      </c>
      <c r="F31" s="24" t="s">
        <v>39</v>
      </c>
      <c r="G31" s="61">
        <v>1</v>
      </c>
      <c r="H31" s="61">
        <v>1</v>
      </c>
      <c r="I31" s="61">
        <f>IF(H31/G31&gt;100%,100%,H31/G31)</f>
        <v>1</v>
      </c>
      <c r="J31" s="74"/>
      <c r="K31" s="74"/>
      <c r="L31" s="90"/>
      <c r="M31" s="58" t="s">
        <v>207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</row>
    <row r="32" spans="1:54" s="51" customFormat="1" ht="55.5" customHeight="1" x14ac:dyDescent="0.3">
      <c r="A32" s="81"/>
      <c r="B32" s="85"/>
      <c r="C32" s="72"/>
      <c r="D32" s="58" t="s">
        <v>135</v>
      </c>
      <c r="E32" s="59" t="s">
        <v>47</v>
      </c>
      <c r="F32" s="24" t="s">
        <v>39</v>
      </c>
      <c r="G32" s="61">
        <f>6.5/10</f>
        <v>0.65</v>
      </c>
      <c r="H32" s="61">
        <v>0.79</v>
      </c>
      <c r="I32" s="61">
        <f>IF(H32/G32&gt;100%,100%,H32/G32)</f>
        <v>1</v>
      </c>
      <c r="J32" s="86"/>
      <c r="K32" s="74"/>
      <c r="L32" s="90"/>
      <c r="M32" s="58" t="s">
        <v>205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</row>
    <row r="33" spans="1:54" s="51" customFormat="1" ht="66.75" customHeight="1" x14ac:dyDescent="0.3">
      <c r="A33" s="89"/>
      <c r="B33" s="85"/>
      <c r="C33" s="72"/>
      <c r="D33" s="58" t="s">
        <v>37</v>
      </c>
      <c r="E33" s="59" t="s">
        <v>137</v>
      </c>
      <c r="F33" s="24" t="s">
        <v>48</v>
      </c>
      <c r="G33" s="63">
        <f>3+662</f>
        <v>665</v>
      </c>
      <c r="H33" s="63">
        <v>704</v>
      </c>
      <c r="I33" s="61">
        <f t="shared" si="0"/>
        <v>1</v>
      </c>
      <c r="J33" s="61">
        <f>I33</f>
        <v>1</v>
      </c>
      <c r="K33" s="86"/>
      <c r="L33" s="90"/>
      <c r="M33" s="58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</row>
    <row r="34" spans="1:54" s="51" customFormat="1" ht="106.5" customHeight="1" x14ac:dyDescent="0.3">
      <c r="A34" s="80" t="s">
        <v>20</v>
      </c>
      <c r="B34" s="84" t="s">
        <v>117</v>
      </c>
      <c r="C34" s="72" t="s">
        <v>115</v>
      </c>
      <c r="D34" s="58" t="s">
        <v>42</v>
      </c>
      <c r="E34" s="59" t="s">
        <v>132</v>
      </c>
      <c r="F34" s="24" t="s">
        <v>39</v>
      </c>
      <c r="G34" s="60">
        <v>1</v>
      </c>
      <c r="H34" s="60">
        <f>H40/(H40)</f>
        <v>1</v>
      </c>
      <c r="I34" s="61">
        <f>IF(H34/G34&gt;100%,100%,H34/G34)</f>
        <v>1</v>
      </c>
      <c r="J34" s="73">
        <f>(I34+I35+I36+I37+I38+I39)/6</f>
        <v>1</v>
      </c>
      <c r="K34" s="73">
        <f>(J34+J40)/2</f>
        <v>1</v>
      </c>
      <c r="L34" s="90" t="str">
        <f>IF(K34&lt;90%,"не выполнено",IF(K34&lt;100%,"в целом выполнено","выполнено"))</f>
        <v>выполнено</v>
      </c>
      <c r="M34" s="58" t="s">
        <v>210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</row>
    <row r="35" spans="1:54" s="51" customFormat="1" ht="78.75" customHeight="1" x14ac:dyDescent="0.3">
      <c r="A35" s="81"/>
      <c r="B35" s="85"/>
      <c r="C35" s="72"/>
      <c r="D35" s="58" t="s">
        <v>43</v>
      </c>
      <c r="E35" s="59" t="s">
        <v>133</v>
      </c>
      <c r="F35" s="24" t="s">
        <v>40</v>
      </c>
      <c r="G35" s="62">
        <v>0</v>
      </c>
      <c r="H35" s="62">
        <v>0</v>
      </c>
      <c r="I35" s="60">
        <f>IF(H35=0,100%,IF(H35=1,98%,IF(H35=2,96%,IF(H35=3,94%,IF(H35=4,92%,IF(H35=5,90%,89.9%))))))</f>
        <v>1</v>
      </c>
      <c r="J35" s="74"/>
      <c r="K35" s="74"/>
      <c r="L35" s="90"/>
      <c r="M35" s="58" t="s">
        <v>50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</row>
    <row r="36" spans="1:54" s="51" customFormat="1" ht="79.5" customHeight="1" x14ac:dyDescent="0.3">
      <c r="A36" s="81"/>
      <c r="B36" s="85"/>
      <c r="C36" s="72"/>
      <c r="D36" s="58" t="s">
        <v>44</v>
      </c>
      <c r="E36" s="59" t="s">
        <v>41</v>
      </c>
      <c r="F36" s="24" t="s">
        <v>39</v>
      </c>
      <c r="G36" s="61">
        <v>0.9</v>
      </c>
      <c r="H36" s="61">
        <f>22.5/24.5</f>
        <v>0.91836734693877553</v>
      </c>
      <c r="I36" s="61">
        <f>IF(H36&lt;90%,89.9%,100%)</f>
        <v>1</v>
      </c>
      <c r="J36" s="74"/>
      <c r="K36" s="74"/>
      <c r="L36" s="90"/>
      <c r="M36" s="58" t="s">
        <v>154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</row>
    <row r="37" spans="1:54" s="51" customFormat="1" ht="90.75" customHeight="1" x14ac:dyDescent="0.3">
      <c r="A37" s="81"/>
      <c r="B37" s="85"/>
      <c r="C37" s="72"/>
      <c r="D37" s="58" t="s">
        <v>45</v>
      </c>
      <c r="E37" s="59" t="s">
        <v>134</v>
      </c>
      <c r="F37" s="24" t="s">
        <v>39</v>
      </c>
      <c r="G37" s="61">
        <v>0.9</v>
      </c>
      <c r="H37" s="61">
        <v>1</v>
      </c>
      <c r="I37" s="61">
        <f>IF(H37/G37&gt;100%,100%,H37/G37)</f>
        <v>1</v>
      </c>
      <c r="J37" s="74"/>
      <c r="K37" s="74"/>
      <c r="L37" s="90"/>
      <c r="M37" s="58" t="s">
        <v>208</v>
      </c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</row>
    <row r="38" spans="1:54" s="51" customFormat="1" ht="69.75" customHeight="1" x14ac:dyDescent="0.3">
      <c r="A38" s="81"/>
      <c r="B38" s="85"/>
      <c r="C38" s="72"/>
      <c r="D38" s="58" t="s">
        <v>46</v>
      </c>
      <c r="E38" s="59" t="s">
        <v>136</v>
      </c>
      <c r="F38" s="24" t="s">
        <v>39</v>
      </c>
      <c r="G38" s="61">
        <v>1</v>
      </c>
      <c r="H38" s="61">
        <v>1</v>
      </c>
      <c r="I38" s="61">
        <f>IF(H38/G38&gt;100%,100%,H38/G38)</f>
        <v>1</v>
      </c>
      <c r="J38" s="74"/>
      <c r="K38" s="74"/>
      <c r="L38" s="90"/>
      <c r="M38" s="58" t="s">
        <v>171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</row>
    <row r="39" spans="1:54" s="51" customFormat="1" ht="55.5" customHeight="1" x14ac:dyDescent="0.3">
      <c r="A39" s="81"/>
      <c r="B39" s="85"/>
      <c r="C39" s="72"/>
      <c r="D39" s="58" t="s">
        <v>135</v>
      </c>
      <c r="E39" s="59" t="s">
        <v>47</v>
      </c>
      <c r="F39" s="24" t="s">
        <v>39</v>
      </c>
      <c r="G39" s="61">
        <v>0.9</v>
      </c>
      <c r="H39" s="61">
        <v>0.93</v>
      </c>
      <c r="I39" s="61">
        <f>IF(H39/G39&gt;100%,100%,H39/G39)</f>
        <v>1</v>
      </c>
      <c r="J39" s="86"/>
      <c r="K39" s="74"/>
      <c r="L39" s="90"/>
      <c r="M39" s="58" t="s">
        <v>209</v>
      </c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</row>
    <row r="40" spans="1:54" s="51" customFormat="1" ht="66.75" customHeight="1" x14ac:dyDescent="0.3">
      <c r="A40" s="89"/>
      <c r="B40" s="85"/>
      <c r="C40" s="72"/>
      <c r="D40" s="58" t="s">
        <v>37</v>
      </c>
      <c r="E40" s="59" t="s">
        <v>137</v>
      </c>
      <c r="F40" s="24" t="s">
        <v>48</v>
      </c>
      <c r="G40" s="63">
        <f>3+2002</f>
        <v>2005</v>
      </c>
      <c r="H40" s="63">
        <v>2044</v>
      </c>
      <c r="I40" s="61">
        <f>IF(H40/G40&gt;100%,100%,H40/G40)</f>
        <v>1</v>
      </c>
      <c r="J40" s="61">
        <f>I40</f>
        <v>1</v>
      </c>
      <c r="K40" s="86"/>
      <c r="L40" s="90"/>
      <c r="M40" s="58" t="s">
        <v>49</v>
      </c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</row>
    <row r="41" spans="1:54" s="51" customFormat="1" ht="106.5" customHeight="1" x14ac:dyDescent="0.3">
      <c r="A41" s="91" t="s">
        <v>21</v>
      </c>
      <c r="B41" s="84" t="s">
        <v>117</v>
      </c>
      <c r="C41" s="72" t="s">
        <v>115</v>
      </c>
      <c r="D41" s="58" t="s">
        <v>42</v>
      </c>
      <c r="E41" s="59" t="s">
        <v>132</v>
      </c>
      <c r="F41" s="24" t="s">
        <v>39</v>
      </c>
      <c r="G41" s="60">
        <v>1</v>
      </c>
      <c r="H41" s="60">
        <f>H47/(H47)</f>
        <v>1</v>
      </c>
      <c r="I41" s="61">
        <f>IF(H41/G41&gt;100%,100%,H41/G41)</f>
        <v>1</v>
      </c>
      <c r="J41" s="73">
        <f>(I41+I42+I43+I44+I45+I46)/6</f>
        <v>1</v>
      </c>
      <c r="K41" s="73">
        <f>(J41+J47)/2</f>
        <v>1</v>
      </c>
      <c r="L41" s="90" t="str">
        <f>IF(K41&lt;90%,"не выполнено",IF(K41&lt;100%,"в целом выполнено","выполнено"))</f>
        <v>выполнено</v>
      </c>
      <c r="M41" s="58" t="s">
        <v>248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</row>
    <row r="42" spans="1:54" s="51" customFormat="1" ht="78.75" customHeight="1" x14ac:dyDescent="0.3">
      <c r="A42" s="92"/>
      <c r="B42" s="85"/>
      <c r="C42" s="72"/>
      <c r="D42" s="58" t="s">
        <v>43</v>
      </c>
      <c r="E42" s="59" t="s">
        <v>133</v>
      </c>
      <c r="F42" s="24" t="s">
        <v>40</v>
      </c>
      <c r="G42" s="62">
        <v>0</v>
      </c>
      <c r="H42" s="62">
        <v>0</v>
      </c>
      <c r="I42" s="60">
        <f>IF(H42=0,100%,IF(H42=1,98%,IF(H42=2,96%,IF(H42=3,94%,IF(H42=4,92%,IF(H42=5,90%,89.9%))))))</f>
        <v>1</v>
      </c>
      <c r="J42" s="74"/>
      <c r="K42" s="74"/>
      <c r="L42" s="90"/>
      <c r="M42" s="58" t="s">
        <v>50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</row>
    <row r="43" spans="1:54" s="51" customFormat="1" ht="65.25" customHeight="1" x14ac:dyDescent="0.3">
      <c r="A43" s="92"/>
      <c r="B43" s="85"/>
      <c r="C43" s="72"/>
      <c r="D43" s="58" t="s">
        <v>44</v>
      </c>
      <c r="E43" s="59" t="s">
        <v>41</v>
      </c>
      <c r="F43" s="24" t="s">
        <v>39</v>
      </c>
      <c r="G43" s="61">
        <v>0.9</v>
      </c>
      <c r="H43" s="61">
        <f>38/42</f>
        <v>0.90476190476190477</v>
      </c>
      <c r="I43" s="61">
        <f>IF(H43&lt;90%,89.9%,100%)</f>
        <v>1</v>
      </c>
      <c r="J43" s="74"/>
      <c r="K43" s="74"/>
      <c r="L43" s="90"/>
      <c r="M43" s="58" t="s">
        <v>123</v>
      </c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</row>
    <row r="44" spans="1:54" s="51" customFormat="1" ht="90.75" customHeight="1" x14ac:dyDescent="0.3">
      <c r="A44" s="92"/>
      <c r="B44" s="85"/>
      <c r="C44" s="72"/>
      <c r="D44" s="58" t="s">
        <v>45</v>
      </c>
      <c r="E44" s="59" t="s">
        <v>134</v>
      </c>
      <c r="F44" s="24" t="s">
        <v>39</v>
      </c>
      <c r="G44" s="61">
        <v>0.9</v>
      </c>
      <c r="H44" s="61">
        <v>1</v>
      </c>
      <c r="I44" s="61">
        <f>IF(H44/G44&gt;100%,100%,H44/G44)</f>
        <v>1</v>
      </c>
      <c r="J44" s="74"/>
      <c r="K44" s="74"/>
      <c r="L44" s="90"/>
      <c r="M44" s="58" t="s">
        <v>212</v>
      </c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</row>
    <row r="45" spans="1:54" s="51" customFormat="1" ht="69.75" customHeight="1" x14ac:dyDescent="0.3">
      <c r="A45" s="92"/>
      <c r="B45" s="85"/>
      <c r="C45" s="72"/>
      <c r="D45" s="58" t="s">
        <v>46</v>
      </c>
      <c r="E45" s="59" t="s">
        <v>136</v>
      </c>
      <c r="F45" s="24" t="s">
        <v>39</v>
      </c>
      <c r="G45" s="61">
        <v>1</v>
      </c>
      <c r="H45" s="61">
        <v>1</v>
      </c>
      <c r="I45" s="61">
        <f>IF(H45/G45&gt;100%,100%,H45/G45)</f>
        <v>1</v>
      </c>
      <c r="J45" s="74"/>
      <c r="K45" s="74"/>
      <c r="L45" s="90"/>
      <c r="M45" s="58" t="s">
        <v>171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</row>
    <row r="46" spans="1:54" s="51" customFormat="1" ht="55.5" customHeight="1" x14ac:dyDescent="0.3">
      <c r="A46" s="92"/>
      <c r="B46" s="85"/>
      <c r="C46" s="72"/>
      <c r="D46" s="58" t="s">
        <v>135</v>
      </c>
      <c r="E46" s="59" t="s">
        <v>47</v>
      </c>
      <c r="F46" s="24" t="s">
        <v>39</v>
      </c>
      <c r="G46" s="61">
        <v>1</v>
      </c>
      <c r="H46" s="61">
        <f>10/10</f>
        <v>1</v>
      </c>
      <c r="I46" s="61">
        <f>IF(H46/G46&gt;100%,100%,H46/G46)</f>
        <v>1</v>
      </c>
      <c r="J46" s="86"/>
      <c r="K46" s="74"/>
      <c r="L46" s="90"/>
      <c r="M46" s="58" t="s">
        <v>146</v>
      </c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</row>
    <row r="47" spans="1:54" s="51" customFormat="1" ht="66.75" customHeight="1" x14ac:dyDescent="0.3">
      <c r="A47" s="92"/>
      <c r="B47" s="85"/>
      <c r="C47" s="72"/>
      <c r="D47" s="58" t="s">
        <v>37</v>
      </c>
      <c r="E47" s="59" t="s">
        <v>137</v>
      </c>
      <c r="F47" s="24" t="s">
        <v>48</v>
      </c>
      <c r="G47" s="63">
        <v>2090</v>
      </c>
      <c r="H47" s="63">
        <v>2112</v>
      </c>
      <c r="I47" s="61">
        <f>IF(H47/G47&gt;100%,100%,H47/G47)</f>
        <v>1</v>
      </c>
      <c r="J47" s="61">
        <f>I47</f>
        <v>1</v>
      </c>
      <c r="K47" s="86"/>
      <c r="L47" s="90"/>
      <c r="M47" s="58" t="s">
        <v>49</v>
      </c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</row>
    <row r="48" spans="1:54" s="51" customFormat="1" ht="106.5" customHeight="1" x14ac:dyDescent="0.3">
      <c r="A48" s="92"/>
      <c r="B48" s="72" t="s">
        <v>118</v>
      </c>
      <c r="C48" s="72" t="s">
        <v>115</v>
      </c>
      <c r="D48" s="58" t="s">
        <v>42</v>
      </c>
      <c r="E48" s="59" t="s">
        <v>132</v>
      </c>
      <c r="F48" s="24" t="s">
        <v>39</v>
      </c>
      <c r="G48" s="60">
        <v>1</v>
      </c>
      <c r="H48" s="60">
        <f>H52/H52</f>
        <v>1</v>
      </c>
      <c r="I48" s="61">
        <f>IF(H48/G48&gt;100%,100%,H48/G48)</f>
        <v>1</v>
      </c>
      <c r="J48" s="73">
        <f>(I48+I49+I50+I51)/4</f>
        <v>1</v>
      </c>
      <c r="K48" s="73">
        <f>(J48+J52)/2</f>
        <v>1</v>
      </c>
      <c r="L48" s="77" t="str">
        <f>IF(K48&lt;90%,"не выполнено",IF(K48&lt;100%,"в целом выполнено","выполнено"))</f>
        <v>выполнено</v>
      </c>
      <c r="M48" s="58" t="s">
        <v>156</v>
      </c>
      <c r="N48" s="55"/>
      <c r="O48" s="64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</row>
    <row r="49" spans="1:54" s="51" customFormat="1" ht="66.75" customHeight="1" x14ac:dyDescent="0.3">
      <c r="A49" s="92"/>
      <c r="B49" s="72"/>
      <c r="C49" s="72"/>
      <c r="D49" s="58" t="s">
        <v>43</v>
      </c>
      <c r="E49" s="59" t="s">
        <v>41</v>
      </c>
      <c r="F49" s="24" t="s">
        <v>39</v>
      </c>
      <c r="G49" s="61">
        <v>0.9</v>
      </c>
      <c r="H49" s="61">
        <f>1/1</f>
        <v>1</v>
      </c>
      <c r="I49" s="61">
        <f>IF(H49&lt;90%,89.9%,100%)</f>
        <v>1</v>
      </c>
      <c r="J49" s="74"/>
      <c r="K49" s="75"/>
      <c r="L49" s="78"/>
      <c r="M49" s="58" t="s">
        <v>250</v>
      </c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</row>
    <row r="50" spans="1:54" s="51" customFormat="1" ht="90" customHeight="1" x14ac:dyDescent="0.3">
      <c r="A50" s="92"/>
      <c r="B50" s="72"/>
      <c r="C50" s="72"/>
      <c r="D50" s="58" t="s">
        <v>44</v>
      </c>
      <c r="E50" s="59" t="s">
        <v>134</v>
      </c>
      <c r="F50" s="24" t="s">
        <v>39</v>
      </c>
      <c r="G50" s="61">
        <v>0.9</v>
      </c>
      <c r="H50" s="61">
        <v>1</v>
      </c>
      <c r="I50" s="61">
        <f>IF(H50/G50&gt;100%,100%,H50/G50)</f>
        <v>1</v>
      </c>
      <c r="J50" s="74"/>
      <c r="K50" s="75"/>
      <c r="L50" s="78"/>
      <c r="M50" s="58" t="s">
        <v>211</v>
      </c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</row>
    <row r="51" spans="1:54" s="51" customFormat="1" ht="66.75" customHeight="1" x14ac:dyDescent="0.3">
      <c r="A51" s="92"/>
      <c r="B51" s="72"/>
      <c r="C51" s="72"/>
      <c r="D51" s="58" t="s">
        <v>45</v>
      </c>
      <c r="E51" s="59" t="s">
        <v>136</v>
      </c>
      <c r="F51" s="24" t="s">
        <v>39</v>
      </c>
      <c r="G51" s="61">
        <v>1</v>
      </c>
      <c r="H51" s="61">
        <v>1</v>
      </c>
      <c r="I51" s="61">
        <f>IF(H51/G51&gt;100%,100%,H51/G51)</f>
        <v>1</v>
      </c>
      <c r="J51" s="74"/>
      <c r="K51" s="75"/>
      <c r="L51" s="78"/>
      <c r="M51" s="58" t="s">
        <v>171</v>
      </c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</row>
    <row r="52" spans="1:54" s="51" customFormat="1" ht="66" customHeight="1" x14ac:dyDescent="0.3">
      <c r="A52" s="93"/>
      <c r="B52" s="72"/>
      <c r="C52" s="72"/>
      <c r="D52" s="58" t="s">
        <v>37</v>
      </c>
      <c r="E52" s="59" t="s">
        <v>137</v>
      </c>
      <c r="F52" s="24" t="s">
        <v>48</v>
      </c>
      <c r="G52" s="63">
        <v>10</v>
      </c>
      <c r="H52" s="63">
        <v>10</v>
      </c>
      <c r="I52" s="61">
        <f>IF(H52/G52&gt;100%,100%,H52/G52)</f>
        <v>1</v>
      </c>
      <c r="J52" s="61">
        <f>I52</f>
        <v>1</v>
      </c>
      <c r="K52" s="76"/>
      <c r="L52" s="79"/>
      <c r="M52" s="58" t="s">
        <v>49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</row>
    <row r="53" spans="1:54" s="51" customFormat="1" ht="106.5" customHeight="1" x14ac:dyDescent="0.3">
      <c r="A53" s="80" t="s">
        <v>30</v>
      </c>
      <c r="B53" s="84" t="s">
        <v>117</v>
      </c>
      <c r="C53" s="72" t="s">
        <v>115</v>
      </c>
      <c r="D53" s="58" t="s">
        <v>42</v>
      </c>
      <c r="E53" s="59" t="s">
        <v>132</v>
      </c>
      <c r="F53" s="24" t="s">
        <v>39</v>
      </c>
      <c r="G53" s="60">
        <v>1</v>
      </c>
      <c r="H53" s="60">
        <f>H59/(H59)</f>
        <v>1</v>
      </c>
      <c r="I53" s="61">
        <f>IF(H53/G53&gt;100%,100%,H53/G53)</f>
        <v>1</v>
      </c>
      <c r="J53" s="73">
        <f>(I53+I54+I55+I56+I57+I58)/6</f>
        <v>1</v>
      </c>
      <c r="K53" s="73">
        <f>(J53+J59)/2</f>
        <v>1</v>
      </c>
      <c r="L53" s="90" t="str">
        <f>IF(K53&lt;90%,"не выполнено",IF(K53&lt;100%,"в целом выполнено","выполнено"))</f>
        <v>выполнено</v>
      </c>
      <c r="M53" s="58" t="s">
        <v>213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</row>
    <row r="54" spans="1:54" s="51" customFormat="1" ht="78.75" customHeight="1" x14ac:dyDescent="0.3">
      <c r="A54" s="81"/>
      <c r="B54" s="85"/>
      <c r="C54" s="72"/>
      <c r="D54" s="58" t="s">
        <v>43</v>
      </c>
      <c r="E54" s="59" t="s">
        <v>133</v>
      </c>
      <c r="F54" s="24" t="s">
        <v>40</v>
      </c>
      <c r="G54" s="62">
        <v>0</v>
      </c>
      <c r="H54" s="62">
        <v>0</v>
      </c>
      <c r="I54" s="60">
        <f>IF(H54=0,100%,IF(H54=1,98%,IF(H54=2,96%,IF(H54=3,94%,IF(H54=4,92%,IF(H54=5,90%,89.9%))))))</f>
        <v>1</v>
      </c>
      <c r="J54" s="74"/>
      <c r="K54" s="74"/>
      <c r="L54" s="90"/>
      <c r="M54" s="58" t="s">
        <v>50</v>
      </c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</row>
    <row r="55" spans="1:54" s="51" customFormat="1" ht="65.25" customHeight="1" x14ac:dyDescent="0.3">
      <c r="A55" s="81"/>
      <c r="B55" s="85"/>
      <c r="C55" s="72"/>
      <c r="D55" s="58" t="s">
        <v>44</v>
      </c>
      <c r="E55" s="59" t="s">
        <v>41</v>
      </c>
      <c r="F55" s="24" t="s">
        <v>39</v>
      </c>
      <c r="G55" s="61">
        <v>0.9</v>
      </c>
      <c r="H55" s="61">
        <f>45/48</f>
        <v>0.9375</v>
      </c>
      <c r="I55" s="61">
        <f>IF(H55&lt;90%,89.9%,100%)</f>
        <v>1</v>
      </c>
      <c r="J55" s="74"/>
      <c r="K55" s="74"/>
      <c r="L55" s="90"/>
      <c r="M55" s="58" t="s">
        <v>173</v>
      </c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</row>
    <row r="56" spans="1:54" s="51" customFormat="1" ht="90.75" customHeight="1" x14ac:dyDescent="0.3">
      <c r="A56" s="81"/>
      <c r="B56" s="85"/>
      <c r="C56" s="72"/>
      <c r="D56" s="58" t="s">
        <v>45</v>
      </c>
      <c r="E56" s="59" t="s">
        <v>134</v>
      </c>
      <c r="F56" s="24" t="s">
        <v>39</v>
      </c>
      <c r="G56" s="61">
        <v>0.9</v>
      </c>
      <c r="H56" s="61">
        <f>100/100</f>
        <v>1</v>
      </c>
      <c r="I56" s="61">
        <f>IF(H56/G56&gt;100%,100%,H56/G56)</f>
        <v>1</v>
      </c>
      <c r="J56" s="74"/>
      <c r="K56" s="74"/>
      <c r="L56" s="90"/>
      <c r="M56" s="58" t="s">
        <v>186</v>
      </c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</row>
    <row r="57" spans="1:54" s="51" customFormat="1" ht="69.75" customHeight="1" x14ac:dyDescent="0.3">
      <c r="A57" s="81"/>
      <c r="B57" s="85"/>
      <c r="C57" s="72"/>
      <c r="D57" s="58" t="s">
        <v>46</v>
      </c>
      <c r="E57" s="59" t="s">
        <v>136</v>
      </c>
      <c r="F57" s="24" t="s">
        <v>39</v>
      </c>
      <c r="G57" s="61">
        <v>1</v>
      </c>
      <c r="H57" s="61">
        <v>1</v>
      </c>
      <c r="I57" s="61">
        <f>IF(H57/G57&gt;100%,100%,H57/G57)</f>
        <v>1</v>
      </c>
      <c r="J57" s="74"/>
      <c r="K57" s="74"/>
      <c r="L57" s="90"/>
      <c r="M57" s="58" t="s">
        <v>171</v>
      </c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</row>
    <row r="58" spans="1:54" s="51" customFormat="1" ht="55.5" customHeight="1" x14ac:dyDescent="0.3">
      <c r="A58" s="81"/>
      <c r="B58" s="85"/>
      <c r="C58" s="72"/>
      <c r="D58" s="58" t="s">
        <v>135</v>
      </c>
      <c r="E58" s="59" t="s">
        <v>47</v>
      </c>
      <c r="F58" s="24" t="s">
        <v>39</v>
      </c>
      <c r="G58" s="61">
        <v>0.75</v>
      </c>
      <c r="H58" s="61">
        <f>8.8/10</f>
        <v>0.88000000000000012</v>
      </c>
      <c r="I58" s="61">
        <f>IF(H58/G58&gt;100%,100%,H58/G58)</f>
        <v>1</v>
      </c>
      <c r="J58" s="86"/>
      <c r="K58" s="74"/>
      <c r="L58" s="90"/>
      <c r="M58" s="58" t="s">
        <v>214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</row>
    <row r="59" spans="1:54" s="51" customFormat="1" ht="66.75" customHeight="1" x14ac:dyDescent="0.3">
      <c r="A59" s="89"/>
      <c r="B59" s="85"/>
      <c r="C59" s="72"/>
      <c r="D59" s="58" t="s">
        <v>37</v>
      </c>
      <c r="E59" s="59" t="s">
        <v>137</v>
      </c>
      <c r="F59" s="24" t="s">
        <v>48</v>
      </c>
      <c r="G59" s="63">
        <f>3+2482</f>
        <v>2485</v>
      </c>
      <c r="H59" s="63">
        <v>2877</v>
      </c>
      <c r="I59" s="61">
        <f>IF(H59/G59&gt;100%,100%,H59/G59)</f>
        <v>1</v>
      </c>
      <c r="J59" s="61">
        <f>I59</f>
        <v>1</v>
      </c>
      <c r="K59" s="86"/>
      <c r="L59" s="90"/>
      <c r="M59" s="58" t="s">
        <v>49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</row>
    <row r="60" spans="1:54" s="51" customFormat="1" ht="106.5" customHeight="1" x14ac:dyDescent="0.3">
      <c r="A60" s="80" t="s">
        <v>29</v>
      </c>
      <c r="B60" s="84" t="s">
        <v>117</v>
      </c>
      <c r="C60" s="72" t="s">
        <v>115</v>
      </c>
      <c r="D60" s="58" t="s">
        <v>42</v>
      </c>
      <c r="E60" s="59" t="s">
        <v>132</v>
      </c>
      <c r="F60" s="24" t="s">
        <v>39</v>
      </c>
      <c r="G60" s="60">
        <v>1</v>
      </c>
      <c r="H60" s="60">
        <f>H66/(H66)</f>
        <v>1</v>
      </c>
      <c r="I60" s="61">
        <f>IF(H60/G60&gt;100%,100%,H60/G60)</f>
        <v>1</v>
      </c>
      <c r="J60" s="73">
        <f>(I60+I61+I62+I63+I64+I65)/6</f>
        <v>1</v>
      </c>
      <c r="K60" s="73">
        <f>(J60+J66)/2</f>
        <v>1</v>
      </c>
      <c r="L60" s="90" t="str">
        <f>IF(K60&lt;90%,"не выполнено",IF(K60&lt;100%,"в целом выполнено","выполнено"))</f>
        <v>выполнено</v>
      </c>
      <c r="M60" s="58" t="s">
        <v>215</v>
      </c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</row>
    <row r="61" spans="1:54" s="51" customFormat="1" ht="78.75" customHeight="1" x14ac:dyDescent="0.3">
      <c r="A61" s="81"/>
      <c r="B61" s="85"/>
      <c r="C61" s="72"/>
      <c r="D61" s="58" t="s">
        <v>43</v>
      </c>
      <c r="E61" s="59" t="s">
        <v>133</v>
      </c>
      <c r="F61" s="24" t="s">
        <v>40</v>
      </c>
      <c r="G61" s="62">
        <v>0</v>
      </c>
      <c r="H61" s="62">
        <v>0</v>
      </c>
      <c r="I61" s="60">
        <f>IF(H61=0,100%,IF(H61=1,98%,IF(H61=2,96%,IF(H61=3,94%,IF(H61=4,92%,IF(H61=5,90%,89.9%))))))</f>
        <v>1</v>
      </c>
      <c r="J61" s="74"/>
      <c r="K61" s="74"/>
      <c r="L61" s="90"/>
      <c r="M61" s="58" t="s">
        <v>50</v>
      </c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</row>
    <row r="62" spans="1:54" s="51" customFormat="1" ht="65.25" customHeight="1" x14ac:dyDescent="0.3">
      <c r="A62" s="81"/>
      <c r="B62" s="85"/>
      <c r="C62" s="72"/>
      <c r="D62" s="58" t="s">
        <v>44</v>
      </c>
      <c r="E62" s="59" t="s">
        <v>41</v>
      </c>
      <c r="F62" s="24" t="s">
        <v>39</v>
      </c>
      <c r="G62" s="61">
        <v>0.9</v>
      </c>
      <c r="H62" s="61">
        <f>32/35.5</f>
        <v>0.90140845070422537</v>
      </c>
      <c r="I62" s="61">
        <f>IF(H62&lt;90%,89.9%,100%)</f>
        <v>1</v>
      </c>
      <c r="J62" s="74"/>
      <c r="K62" s="74"/>
      <c r="L62" s="90"/>
      <c r="M62" s="58" t="s">
        <v>139</v>
      </c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</row>
    <row r="63" spans="1:54" s="51" customFormat="1" ht="90.75" customHeight="1" x14ac:dyDescent="0.3">
      <c r="A63" s="81"/>
      <c r="B63" s="85"/>
      <c r="C63" s="72"/>
      <c r="D63" s="58" t="s">
        <v>45</v>
      </c>
      <c r="E63" s="59" t="s">
        <v>134</v>
      </c>
      <c r="F63" s="24" t="s">
        <v>39</v>
      </c>
      <c r="G63" s="61">
        <v>0.9</v>
      </c>
      <c r="H63" s="61">
        <v>1</v>
      </c>
      <c r="I63" s="61">
        <f>IF(H63/G63&gt;100%,100%,H63/G63)</f>
        <v>1</v>
      </c>
      <c r="J63" s="74"/>
      <c r="K63" s="74"/>
      <c r="L63" s="90"/>
      <c r="M63" s="58" t="s">
        <v>174</v>
      </c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</row>
    <row r="64" spans="1:54" s="51" customFormat="1" ht="69.75" customHeight="1" x14ac:dyDescent="0.3">
      <c r="A64" s="81"/>
      <c r="B64" s="85"/>
      <c r="C64" s="72"/>
      <c r="D64" s="58" t="s">
        <v>46</v>
      </c>
      <c r="E64" s="59" t="s">
        <v>136</v>
      </c>
      <c r="F64" s="24" t="s">
        <v>39</v>
      </c>
      <c r="G64" s="61">
        <v>1</v>
      </c>
      <c r="H64" s="61">
        <v>1</v>
      </c>
      <c r="I64" s="61">
        <f>IF(H64/G64&gt;100%,100%,H64/G64)</f>
        <v>1</v>
      </c>
      <c r="J64" s="74"/>
      <c r="K64" s="74"/>
      <c r="L64" s="90"/>
      <c r="M64" s="58" t="s">
        <v>175</v>
      </c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</row>
    <row r="65" spans="1:54" s="51" customFormat="1" ht="55.5" customHeight="1" x14ac:dyDescent="0.3">
      <c r="A65" s="81"/>
      <c r="B65" s="85"/>
      <c r="C65" s="72"/>
      <c r="D65" s="58" t="s">
        <v>135</v>
      </c>
      <c r="E65" s="59" t="s">
        <v>47</v>
      </c>
      <c r="F65" s="24" t="s">
        <v>39</v>
      </c>
      <c r="G65" s="61">
        <v>0.9</v>
      </c>
      <c r="H65" s="61">
        <v>0.92</v>
      </c>
      <c r="I65" s="61">
        <f>IF(H65/G65&gt;100%,100%,H65/G65)</f>
        <v>1</v>
      </c>
      <c r="J65" s="86"/>
      <c r="K65" s="74"/>
      <c r="L65" s="90"/>
      <c r="M65" s="58" t="s">
        <v>155</v>
      </c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</row>
    <row r="66" spans="1:54" s="51" customFormat="1" ht="66.75" customHeight="1" x14ac:dyDescent="0.3">
      <c r="A66" s="81"/>
      <c r="B66" s="85"/>
      <c r="C66" s="72"/>
      <c r="D66" s="58" t="s">
        <v>37</v>
      </c>
      <c r="E66" s="59" t="s">
        <v>137</v>
      </c>
      <c r="F66" s="24" t="s">
        <v>48</v>
      </c>
      <c r="G66" s="63">
        <v>1997</v>
      </c>
      <c r="H66" s="63">
        <v>2002</v>
      </c>
      <c r="I66" s="61">
        <f>IF(H66/G66&gt;100%,100%,H66/G66)</f>
        <v>1</v>
      </c>
      <c r="J66" s="61">
        <f>I66</f>
        <v>1</v>
      </c>
      <c r="K66" s="86"/>
      <c r="L66" s="90"/>
      <c r="M66" s="58" t="s">
        <v>49</v>
      </c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</row>
    <row r="67" spans="1:54" s="51" customFormat="1" ht="106.5" customHeight="1" x14ac:dyDescent="0.3">
      <c r="A67" s="82"/>
      <c r="B67" s="72" t="s">
        <v>118</v>
      </c>
      <c r="C67" s="72" t="s">
        <v>115</v>
      </c>
      <c r="D67" s="58" t="s">
        <v>42</v>
      </c>
      <c r="E67" s="59" t="s">
        <v>132</v>
      </c>
      <c r="F67" s="24" t="s">
        <v>39</v>
      </c>
      <c r="G67" s="60">
        <v>1</v>
      </c>
      <c r="H67" s="60">
        <f>H71/H71</f>
        <v>1</v>
      </c>
      <c r="I67" s="61">
        <f>IF(H67/G67&gt;100%,100%,H67/G67)</f>
        <v>1</v>
      </c>
      <c r="J67" s="73">
        <f>(I67+I68+I69+I70)/4</f>
        <v>1</v>
      </c>
      <c r="K67" s="73">
        <f>(J67+J71)/2</f>
        <v>1</v>
      </c>
      <c r="L67" s="77" t="str">
        <f>IF(K67&lt;90%,"не выполнено",IF(K67&lt;100%,"в целом выполнено","выполнено"))</f>
        <v>выполнено</v>
      </c>
      <c r="M67" s="58" t="s">
        <v>157</v>
      </c>
      <c r="N67" s="55"/>
      <c r="O67" s="64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</row>
    <row r="68" spans="1:54" s="51" customFormat="1" ht="66.75" customHeight="1" x14ac:dyDescent="0.3">
      <c r="A68" s="82"/>
      <c r="B68" s="72"/>
      <c r="C68" s="72"/>
      <c r="D68" s="58" t="s">
        <v>43</v>
      </c>
      <c r="E68" s="59" t="s">
        <v>41</v>
      </c>
      <c r="F68" s="24" t="s">
        <v>39</v>
      </c>
      <c r="G68" s="61">
        <v>0.9</v>
      </c>
      <c r="H68" s="61">
        <f>2/2</f>
        <v>1</v>
      </c>
      <c r="I68" s="61">
        <f>IF(H68&lt;90%,89.9%,100%)</f>
        <v>1</v>
      </c>
      <c r="J68" s="74"/>
      <c r="K68" s="75"/>
      <c r="L68" s="78"/>
      <c r="M68" s="58" t="s">
        <v>142</v>
      </c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</row>
    <row r="69" spans="1:54" s="51" customFormat="1" ht="90" customHeight="1" x14ac:dyDescent="0.3">
      <c r="A69" s="82"/>
      <c r="B69" s="72"/>
      <c r="C69" s="72"/>
      <c r="D69" s="58" t="s">
        <v>44</v>
      </c>
      <c r="E69" s="59" t="s">
        <v>134</v>
      </c>
      <c r="F69" s="24" t="s">
        <v>39</v>
      </c>
      <c r="G69" s="61">
        <v>0.9</v>
      </c>
      <c r="H69" s="61">
        <v>1</v>
      </c>
      <c r="I69" s="61">
        <f>IF(H69/G69&gt;100%,100%,H69/G69)</f>
        <v>1</v>
      </c>
      <c r="J69" s="74"/>
      <c r="K69" s="75"/>
      <c r="L69" s="78"/>
      <c r="M69" s="58" t="s">
        <v>176</v>
      </c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</row>
    <row r="70" spans="1:54" s="51" customFormat="1" ht="66.75" customHeight="1" x14ac:dyDescent="0.3">
      <c r="A70" s="82"/>
      <c r="B70" s="72"/>
      <c r="C70" s="72"/>
      <c r="D70" s="58" t="s">
        <v>45</v>
      </c>
      <c r="E70" s="59" t="s">
        <v>136</v>
      </c>
      <c r="F70" s="24" t="s">
        <v>39</v>
      </c>
      <c r="G70" s="61">
        <v>1</v>
      </c>
      <c r="H70" s="61">
        <v>1</v>
      </c>
      <c r="I70" s="61">
        <f>IF(H70/G70&gt;100%,100%,H70/G70)</f>
        <v>1</v>
      </c>
      <c r="J70" s="74"/>
      <c r="K70" s="75"/>
      <c r="L70" s="78"/>
      <c r="M70" s="58" t="s">
        <v>177</v>
      </c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</row>
    <row r="71" spans="1:54" s="51" customFormat="1" ht="66" customHeight="1" x14ac:dyDescent="0.3">
      <c r="A71" s="83"/>
      <c r="B71" s="72"/>
      <c r="C71" s="72"/>
      <c r="D71" s="58" t="s">
        <v>37</v>
      </c>
      <c r="E71" s="59" t="s">
        <v>137</v>
      </c>
      <c r="F71" s="24" t="s">
        <v>48</v>
      </c>
      <c r="G71" s="63">
        <v>33</v>
      </c>
      <c r="H71" s="63">
        <v>33</v>
      </c>
      <c r="I71" s="61">
        <f>IF(H71/G71&gt;100%,100%,H71/G71)</f>
        <v>1</v>
      </c>
      <c r="J71" s="61">
        <f>I71</f>
        <v>1</v>
      </c>
      <c r="K71" s="76"/>
      <c r="L71" s="79"/>
      <c r="M71" s="58" t="s">
        <v>49</v>
      </c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</row>
    <row r="72" spans="1:54" s="51" customFormat="1" ht="106.5" customHeight="1" x14ac:dyDescent="0.3">
      <c r="A72" s="80" t="s">
        <v>19</v>
      </c>
      <c r="B72" s="84" t="s">
        <v>117</v>
      </c>
      <c r="C72" s="72" t="s">
        <v>115</v>
      </c>
      <c r="D72" s="58" t="s">
        <v>42</v>
      </c>
      <c r="E72" s="59" t="s">
        <v>132</v>
      </c>
      <c r="F72" s="24" t="s">
        <v>39</v>
      </c>
      <c r="G72" s="60">
        <v>1</v>
      </c>
      <c r="H72" s="60">
        <f>H78/(H78)</f>
        <v>1</v>
      </c>
      <c r="I72" s="61">
        <f>IF(H72/G72&gt;100%,100%,H72/G72)</f>
        <v>1</v>
      </c>
      <c r="J72" s="73">
        <f>(I72+I73+I74+I75+I76+I77)/6</f>
        <v>1</v>
      </c>
      <c r="K72" s="73">
        <f>(J72+J78)/2</f>
        <v>1</v>
      </c>
      <c r="L72" s="90" t="str">
        <f>IF(K72&lt;90%,"не выполнено",IF(K72&lt;100%,"в целом выполнено","выполнено"))</f>
        <v>выполнено</v>
      </c>
      <c r="M72" s="58" t="s">
        <v>217</v>
      </c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</row>
    <row r="73" spans="1:54" s="51" customFormat="1" ht="78.75" customHeight="1" x14ac:dyDescent="0.3">
      <c r="A73" s="81"/>
      <c r="B73" s="85"/>
      <c r="C73" s="72"/>
      <c r="D73" s="58" t="s">
        <v>43</v>
      </c>
      <c r="E73" s="59" t="s">
        <v>133</v>
      </c>
      <c r="F73" s="24" t="s">
        <v>40</v>
      </c>
      <c r="G73" s="62">
        <v>0</v>
      </c>
      <c r="H73" s="62">
        <v>0</v>
      </c>
      <c r="I73" s="60">
        <f>IF(H73=0,100%,IF(H73=1,98%,IF(H73=2,96%,IF(H73=3,94%,IF(H73=4,92%,IF(H73=5,90%,89.9%))))))</f>
        <v>1</v>
      </c>
      <c r="J73" s="74"/>
      <c r="K73" s="74"/>
      <c r="L73" s="90"/>
      <c r="M73" s="58" t="s">
        <v>50</v>
      </c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</row>
    <row r="74" spans="1:54" s="51" customFormat="1" ht="65.25" customHeight="1" x14ac:dyDescent="0.3">
      <c r="A74" s="81"/>
      <c r="B74" s="85"/>
      <c r="C74" s="72"/>
      <c r="D74" s="58" t="s">
        <v>44</v>
      </c>
      <c r="E74" s="59" t="s">
        <v>41</v>
      </c>
      <c r="F74" s="24" t="s">
        <v>39</v>
      </c>
      <c r="G74" s="61">
        <v>0.9</v>
      </c>
      <c r="H74" s="61">
        <f>73.5/76.5</f>
        <v>0.96078431372549022</v>
      </c>
      <c r="I74" s="61">
        <f>IF(H74&lt;90%,89.9%,100%)</f>
        <v>1</v>
      </c>
      <c r="J74" s="74"/>
      <c r="K74" s="74"/>
      <c r="L74" s="90"/>
      <c r="M74" s="58" t="s">
        <v>218</v>
      </c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</row>
    <row r="75" spans="1:54" s="51" customFormat="1" ht="90.75" customHeight="1" x14ac:dyDescent="0.3">
      <c r="A75" s="81"/>
      <c r="B75" s="85"/>
      <c r="C75" s="72"/>
      <c r="D75" s="58" t="s">
        <v>45</v>
      </c>
      <c r="E75" s="59" t="s">
        <v>134</v>
      </c>
      <c r="F75" s="24" t="s">
        <v>39</v>
      </c>
      <c r="G75" s="61">
        <v>0.9</v>
      </c>
      <c r="H75" s="61">
        <f>65/67*100%</f>
        <v>0.97014925373134331</v>
      </c>
      <c r="I75" s="61">
        <f t="shared" ref="I75:I84" si="1">IF(H75/G75&gt;100%,100%,H75/G75)</f>
        <v>1</v>
      </c>
      <c r="J75" s="74"/>
      <c r="K75" s="74"/>
      <c r="L75" s="90"/>
      <c r="M75" s="58" t="s">
        <v>219</v>
      </c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</row>
    <row r="76" spans="1:54" s="51" customFormat="1" ht="69.75" customHeight="1" x14ac:dyDescent="0.3">
      <c r="A76" s="81"/>
      <c r="B76" s="85"/>
      <c r="C76" s="72"/>
      <c r="D76" s="58" t="s">
        <v>46</v>
      </c>
      <c r="E76" s="59" t="s">
        <v>136</v>
      </c>
      <c r="F76" s="24" t="s">
        <v>39</v>
      </c>
      <c r="G76" s="61">
        <v>1</v>
      </c>
      <c r="H76" s="61">
        <v>1</v>
      </c>
      <c r="I76" s="61">
        <f t="shared" si="1"/>
        <v>1</v>
      </c>
      <c r="J76" s="74"/>
      <c r="K76" s="74"/>
      <c r="L76" s="90"/>
      <c r="M76" s="58" t="s">
        <v>220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</row>
    <row r="77" spans="1:54" s="51" customFormat="1" ht="55.5" customHeight="1" x14ac:dyDescent="0.3">
      <c r="A77" s="81"/>
      <c r="B77" s="85"/>
      <c r="C77" s="72"/>
      <c r="D77" s="58" t="s">
        <v>135</v>
      </c>
      <c r="E77" s="59" t="s">
        <v>47</v>
      </c>
      <c r="F77" s="24" t="s">
        <v>39</v>
      </c>
      <c r="G77" s="61">
        <v>0.7</v>
      </c>
      <c r="H77" s="61">
        <v>0.8</v>
      </c>
      <c r="I77" s="61">
        <f t="shared" si="1"/>
        <v>1</v>
      </c>
      <c r="J77" s="86"/>
      <c r="K77" s="74"/>
      <c r="L77" s="90"/>
      <c r="M77" s="58" t="s">
        <v>222</v>
      </c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</row>
    <row r="78" spans="1:54" s="51" customFormat="1" ht="66.75" customHeight="1" x14ac:dyDescent="0.3">
      <c r="A78" s="81"/>
      <c r="B78" s="85"/>
      <c r="C78" s="72"/>
      <c r="D78" s="58" t="s">
        <v>37</v>
      </c>
      <c r="E78" s="59" t="s">
        <v>137</v>
      </c>
      <c r="F78" s="24" t="s">
        <v>48</v>
      </c>
      <c r="G78" s="63">
        <v>1015</v>
      </c>
      <c r="H78" s="63">
        <v>1069</v>
      </c>
      <c r="I78" s="61">
        <f t="shared" si="1"/>
        <v>1</v>
      </c>
      <c r="J78" s="61">
        <f>I78</f>
        <v>1</v>
      </c>
      <c r="K78" s="86"/>
      <c r="L78" s="90"/>
      <c r="M78" s="58" t="s">
        <v>49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</row>
    <row r="79" spans="1:54" s="51" customFormat="1" ht="106.5" customHeight="1" x14ac:dyDescent="0.3">
      <c r="A79" s="82"/>
      <c r="B79" s="72" t="s">
        <v>118</v>
      </c>
      <c r="C79" s="72" t="s">
        <v>115</v>
      </c>
      <c r="D79" s="58" t="s">
        <v>42</v>
      </c>
      <c r="E79" s="59" t="s">
        <v>132</v>
      </c>
      <c r="F79" s="24" t="s">
        <v>39</v>
      </c>
      <c r="G79" s="60">
        <v>1</v>
      </c>
      <c r="H79" s="60">
        <f>H83/H83</f>
        <v>1</v>
      </c>
      <c r="I79" s="61">
        <f t="shared" si="1"/>
        <v>1</v>
      </c>
      <c r="J79" s="73">
        <f>(I79+I80+I81+I82)/4</f>
        <v>1</v>
      </c>
      <c r="K79" s="73">
        <f>(J79+J83)/2</f>
        <v>1</v>
      </c>
      <c r="L79" s="77" t="str">
        <f>IF(K79&lt;90%,"не выполнено",IF(K79&lt;100%,"в целом выполнено","выполнено"))</f>
        <v>выполнено</v>
      </c>
      <c r="M79" s="58" t="s">
        <v>216</v>
      </c>
      <c r="N79" s="55"/>
      <c r="O79" s="64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</row>
    <row r="80" spans="1:54" s="51" customFormat="1" ht="66.75" customHeight="1" x14ac:dyDescent="0.3">
      <c r="A80" s="82"/>
      <c r="B80" s="72"/>
      <c r="C80" s="72"/>
      <c r="D80" s="58" t="s">
        <v>43</v>
      </c>
      <c r="E80" s="59" t="s">
        <v>41</v>
      </c>
      <c r="F80" s="24" t="s">
        <v>39</v>
      </c>
      <c r="G80" s="61">
        <v>0.9</v>
      </c>
      <c r="H80" s="61">
        <f>6.5/7</f>
        <v>0.9285714285714286</v>
      </c>
      <c r="I80" s="61">
        <f>IF(H80&lt;90%,89.9%,100%)</f>
        <v>1</v>
      </c>
      <c r="J80" s="74"/>
      <c r="K80" s="75"/>
      <c r="L80" s="78"/>
      <c r="M80" s="58" t="s">
        <v>158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</row>
    <row r="81" spans="1:54" s="51" customFormat="1" ht="90" customHeight="1" x14ac:dyDescent="0.3">
      <c r="A81" s="82"/>
      <c r="B81" s="72"/>
      <c r="C81" s="72"/>
      <c r="D81" s="58" t="s">
        <v>44</v>
      </c>
      <c r="E81" s="59" t="s">
        <v>134</v>
      </c>
      <c r="F81" s="24" t="s">
        <v>39</v>
      </c>
      <c r="G81" s="61">
        <v>0.9</v>
      </c>
      <c r="H81" s="61">
        <v>1</v>
      </c>
      <c r="I81" s="61">
        <f>IF(H81/G81&gt;100%,100%,H81/G81)</f>
        <v>1</v>
      </c>
      <c r="J81" s="74"/>
      <c r="K81" s="75"/>
      <c r="L81" s="78"/>
      <c r="M81" s="58" t="s">
        <v>182</v>
      </c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</row>
    <row r="82" spans="1:54" s="51" customFormat="1" ht="66.75" customHeight="1" x14ac:dyDescent="0.3">
      <c r="A82" s="82"/>
      <c r="B82" s="72"/>
      <c r="C82" s="72"/>
      <c r="D82" s="58" t="s">
        <v>45</v>
      </c>
      <c r="E82" s="59" t="s">
        <v>136</v>
      </c>
      <c r="F82" s="24" t="s">
        <v>39</v>
      </c>
      <c r="G82" s="61">
        <v>1</v>
      </c>
      <c r="H82" s="61">
        <v>1</v>
      </c>
      <c r="I82" s="61">
        <f t="shared" si="1"/>
        <v>1</v>
      </c>
      <c r="J82" s="74"/>
      <c r="K82" s="75"/>
      <c r="L82" s="78"/>
      <c r="M82" s="58" t="s">
        <v>221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</row>
    <row r="83" spans="1:54" s="51" customFormat="1" ht="66" customHeight="1" x14ac:dyDescent="0.3">
      <c r="A83" s="83"/>
      <c r="B83" s="72"/>
      <c r="C83" s="72"/>
      <c r="D83" s="58" t="s">
        <v>37</v>
      </c>
      <c r="E83" s="59" t="s">
        <v>137</v>
      </c>
      <c r="F83" s="24" t="s">
        <v>48</v>
      </c>
      <c r="G83" s="63">
        <v>165</v>
      </c>
      <c r="H83" s="63">
        <v>210</v>
      </c>
      <c r="I83" s="61">
        <f t="shared" si="1"/>
        <v>1</v>
      </c>
      <c r="J83" s="61">
        <f>I83</f>
        <v>1</v>
      </c>
      <c r="K83" s="76"/>
      <c r="L83" s="79"/>
      <c r="M83" s="58" t="s">
        <v>49</v>
      </c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</row>
    <row r="84" spans="1:54" s="51" customFormat="1" ht="106.5" customHeight="1" x14ac:dyDescent="0.3">
      <c r="A84" s="80" t="s">
        <v>28</v>
      </c>
      <c r="B84" s="84" t="s">
        <v>117</v>
      </c>
      <c r="C84" s="72" t="s">
        <v>115</v>
      </c>
      <c r="D84" s="58" t="s">
        <v>42</v>
      </c>
      <c r="E84" s="59" t="s">
        <v>132</v>
      </c>
      <c r="F84" s="24" t="s">
        <v>39</v>
      </c>
      <c r="G84" s="60">
        <v>1</v>
      </c>
      <c r="H84" s="60">
        <f>H90/(H90)</f>
        <v>1</v>
      </c>
      <c r="I84" s="61">
        <f t="shared" si="1"/>
        <v>1</v>
      </c>
      <c r="J84" s="73">
        <f>(I84+I85+I86+I87+I88+I89)/6</f>
        <v>1</v>
      </c>
      <c r="K84" s="73">
        <f>(J84+J90)/2</f>
        <v>1</v>
      </c>
      <c r="L84" s="90" t="str">
        <f>IF(K84&lt;90%,"не выполнено",IF(K84&lt;100%,"в целом выполнено","выполнено"))</f>
        <v>выполнено</v>
      </c>
      <c r="M84" s="58" t="s">
        <v>224</v>
      </c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</row>
    <row r="85" spans="1:54" s="51" customFormat="1" ht="78.75" customHeight="1" x14ac:dyDescent="0.3">
      <c r="A85" s="81"/>
      <c r="B85" s="85"/>
      <c r="C85" s="72"/>
      <c r="D85" s="58" t="s">
        <v>43</v>
      </c>
      <c r="E85" s="59" t="s">
        <v>133</v>
      </c>
      <c r="F85" s="24" t="s">
        <v>40</v>
      </c>
      <c r="G85" s="62">
        <v>0</v>
      </c>
      <c r="H85" s="62">
        <v>0</v>
      </c>
      <c r="I85" s="60">
        <f>IF(H85=0,100%,IF(H85=1,98%,IF(H85=2,96%,IF(H85=3,94%,IF(H85=4,92%,IF(H85=5,90%,89.9%))))))</f>
        <v>1</v>
      </c>
      <c r="J85" s="74"/>
      <c r="K85" s="74"/>
      <c r="L85" s="90"/>
      <c r="M85" s="58" t="s">
        <v>50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</row>
    <row r="86" spans="1:54" s="51" customFormat="1" ht="65.25" customHeight="1" x14ac:dyDescent="0.3">
      <c r="A86" s="81"/>
      <c r="B86" s="85"/>
      <c r="C86" s="72"/>
      <c r="D86" s="58" t="s">
        <v>44</v>
      </c>
      <c r="E86" s="59" t="s">
        <v>41</v>
      </c>
      <c r="F86" s="24" t="s">
        <v>39</v>
      </c>
      <c r="G86" s="61">
        <v>0.9</v>
      </c>
      <c r="H86" s="61">
        <f>27/29.5</f>
        <v>0.9152542372881356</v>
      </c>
      <c r="I86" s="61">
        <f>IF(H86&lt;90%,89.9%,100%)</f>
        <v>1</v>
      </c>
      <c r="J86" s="74"/>
      <c r="K86" s="74"/>
      <c r="L86" s="90"/>
      <c r="M86" s="58" t="s">
        <v>178</v>
      </c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</row>
    <row r="87" spans="1:54" s="51" customFormat="1" ht="90.75" customHeight="1" x14ac:dyDescent="0.3">
      <c r="A87" s="81"/>
      <c r="B87" s="85"/>
      <c r="C87" s="72"/>
      <c r="D87" s="58" t="s">
        <v>45</v>
      </c>
      <c r="E87" s="59" t="s">
        <v>134</v>
      </c>
      <c r="F87" s="24" t="s">
        <v>39</v>
      </c>
      <c r="G87" s="61">
        <v>0.9</v>
      </c>
      <c r="H87" s="61">
        <v>1</v>
      </c>
      <c r="I87" s="61">
        <f t="shared" ref="I87:I96" si="2">IF(H87/G87&gt;100%,100%,H87/G87)</f>
        <v>1</v>
      </c>
      <c r="J87" s="74"/>
      <c r="K87" s="74"/>
      <c r="L87" s="90"/>
      <c r="M87" s="58" t="s">
        <v>225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</row>
    <row r="88" spans="1:54" s="51" customFormat="1" ht="69.75" customHeight="1" x14ac:dyDescent="0.3">
      <c r="A88" s="81"/>
      <c r="B88" s="85"/>
      <c r="C88" s="72"/>
      <c r="D88" s="58" t="s">
        <v>46</v>
      </c>
      <c r="E88" s="59" t="s">
        <v>136</v>
      </c>
      <c r="F88" s="24" t="s">
        <v>39</v>
      </c>
      <c r="G88" s="61">
        <v>1</v>
      </c>
      <c r="H88" s="61">
        <v>1</v>
      </c>
      <c r="I88" s="61">
        <f t="shared" si="2"/>
        <v>1</v>
      </c>
      <c r="J88" s="74"/>
      <c r="K88" s="74"/>
      <c r="L88" s="90"/>
      <c r="M88" s="58" t="s">
        <v>179</v>
      </c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</row>
    <row r="89" spans="1:54" s="51" customFormat="1" ht="55.5" customHeight="1" x14ac:dyDescent="0.3">
      <c r="A89" s="81"/>
      <c r="B89" s="85"/>
      <c r="C89" s="72"/>
      <c r="D89" s="58" t="s">
        <v>135</v>
      </c>
      <c r="E89" s="59" t="s">
        <v>47</v>
      </c>
      <c r="F89" s="24" t="s">
        <v>39</v>
      </c>
      <c r="G89" s="61">
        <v>0.99</v>
      </c>
      <c r="H89" s="61">
        <v>0.99</v>
      </c>
      <c r="I89" s="61">
        <f t="shared" si="2"/>
        <v>1</v>
      </c>
      <c r="J89" s="86"/>
      <c r="K89" s="74"/>
      <c r="L89" s="90"/>
      <c r="M89" s="58" t="s">
        <v>152</v>
      </c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</row>
    <row r="90" spans="1:54" s="51" customFormat="1" ht="66.75" customHeight="1" x14ac:dyDescent="0.3">
      <c r="A90" s="81"/>
      <c r="B90" s="85"/>
      <c r="C90" s="72"/>
      <c r="D90" s="58" t="s">
        <v>37</v>
      </c>
      <c r="E90" s="59" t="s">
        <v>137</v>
      </c>
      <c r="F90" s="24" t="s">
        <v>48</v>
      </c>
      <c r="G90" s="63">
        <v>1730</v>
      </c>
      <c r="H90" s="63">
        <v>1934</v>
      </c>
      <c r="I90" s="61">
        <f t="shared" si="2"/>
        <v>1</v>
      </c>
      <c r="J90" s="61">
        <f>I90</f>
        <v>1</v>
      </c>
      <c r="K90" s="86"/>
      <c r="L90" s="90"/>
      <c r="M90" s="58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</row>
    <row r="91" spans="1:54" s="51" customFormat="1" ht="106.5" customHeight="1" x14ac:dyDescent="0.3">
      <c r="A91" s="82"/>
      <c r="B91" s="72" t="s">
        <v>118</v>
      </c>
      <c r="C91" s="72" t="s">
        <v>115</v>
      </c>
      <c r="D91" s="58" t="s">
        <v>42</v>
      </c>
      <c r="E91" s="59" t="s">
        <v>132</v>
      </c>
      <c r="F91" s="24" t="s">
        <v>39</v>
      </c>
      <c r="G91" s="60">
        <v>1</v>
      </c>
      <c r="H91" s="60">
        <f>H95/H95</f>
        <v>1</v>
      </c>
      <c r="I91" s="61">
        <f t="shared" si="2"/>
        <v>1</v>
      </c>
      <c r="J91" s="73">
        <f>(I91+I92+I93+I94)/4</f>
        <v>1</v>
      </c>
      <c r="K91" s="73">
        <f>(J91+J95)/2</f>
        <v>1</v>
      </c>
      <c r="L91" s="77" t="str">
        <f>IF(K91&lt;90%,"не выполнено",IF(K91&lt;100%,"в целом выполнено","выполнено"))</f>
        <v>выполнено</v>
      </c>
      <c r="M91" s="58" t="s">
        <v>223</v>
      </c>
      <c r="N91" s="55"/>
      <c r="O91" s="64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</row>
    <row r="92" spans="1:54" s="51" customFormat="1" ht="66.75" customHeight="1" x14ac:dyDescent="0.3">
      <c r="A92" s="82"/>
      <c r="B92" s="72"/>
      <c r="C92" s="72"/>
      <c r="D92" s="58" t="s">
        <v>43</v>
      </c>
      <c r="E92" s="59" t="s">
        <v>41</v>
      </c>
      <c r="F92" s="24" t="s">
        <v>39</v>
      </c>
      <c r="G92" s="61">
        <v>0.9</v>
      </c>
      <c r="H92" s="61">
        <f>57/62</f>
        <v>0.91935483870967738</v>
      </c>
      <c r="I92" s="61">
        <f>IF(H92&lt;90%,89.9%,100%)</f>
        <v>1</v>
      </c>
      <c r="J92" s="74"/>
      <c r="K92" s="75"/>
      <c r="L92" s="78"/>
      <c r="M92" s="58" t="s">
        <v>180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</row>
    <row r="93" spans="1:54" s="51" customFormat="1" ht="90" customHeight="1" x14ac:dyDescent="0.3">
      <c r="A93" s="82"/>
      <c r="B93" s="72"/>
      <c r="C93" s="72"/>
      <c r="D93" s="58" t="s">
        <v>44</v>
      </c>
      <c r="E93" s="59" t="s">
        <v>134</v>
      </c>
      <c r="F93" s="24" t="s">
        <v>39</v>
      </c>
      <c r="G93" s="61">
        <v>0.9</v>
      </c>
      <c r="H93" s="61">
        <v>1</v>
      </c>
      <c r="I93" s="61">
        <f>IF(H93/G93&gt;100%,100%,H93/G93)</f>
        <v>1</v>
      </c>
      <c r="J93" s="74"/>
      <c r="K93" s="75"/>
      <c r="L93" s="78"/>
      <c r="M93" s="58" t="s">
        <v>172</v>
      </c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</row>
    <row r="94" spans="1:54" s="51" customFormat="1" ht="66.75" customHeight="1" x14ac:dyDescent="0.3">
      <c r="A94" s="82"/>
      <c r="B94" s="72"/>
      <c r="C94" s="72"/>
      <c r="D94" s="58" t="s">
        <v>45</v>
      </c>
      <c r="E94" s="59" t="s">
        <v>136</v>
      </c>
      <c r="F94" s="24" t="s">
        <v>39</v>
      </c>
      <c r="G94" s="61">
        <v>1</v>
      </c>
      <c r="H94" s="61">
        <v>1</v>
      </c>
      <c r="I94" s="61">
        <f t="shared" si="2"/>
        <v>1</v>
      </c>
      <c r="J94" s="74"/>
      <c r="K94" s="75"/>
      <c r="L94" s="78"/>
      <c r="M94" s="58" t="s">
        <v>181</v>
      </c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</row>
    <row r="95" spans="1:54" s="51" customFormat="1" ht="66" customHeight="1" x14ac:dyDescent="0.3">
      <c r="A95" s="83"/>
      <c r="B95" s="72"/>
      <c r="C95" s="72"/>
      <c r="D95" s="58" t="s">
        <v>37</v>
      </c>
      <c r="E95" s="59" t="s">
        <v>137</v>
      </c>
      <c r="F95" s="24" t="s">
        <v>48</v>
      </c>
      <c r="G95" s="63">
        <f>470+250</f>
        <v>720</v>
      </c>
      <c r="H95" s="63">
        <v>822</v>
      </c>
      <c r="I95" s="61">
        <f t="shared" si="2"/>
        <v>1</v>
      </c>
      <c r="J95" s="61">
        <f>I95</f>
        <v>1</v>
      </c>
      <c r="K95" s="76"/>
      <c r="L95" s="79"/>
      <c r="M95" s="58" t="s">
        <v>49</v>
      </c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</row>
    <row r="96" spans="1:54" s="51" customFormat="1" ht="106.5" customHeight="1" x14ac:dyDescent="0.3">
      <c r="A96" s="80" t="s">
        <v>27</v>
      </c>
      <c r="B96" s="84" t="s">
        <v>117</v>
      </c>
      <c r="C96" s="72" t="s">
        <v>115</v>
      </c>
      <c r="D96" s="58" t="s">
        <v>42</v>
      </c>
      <c r="E96" s="59" t="s">
        <v>132</v>
      </c>
      <c r="F96" s="24" t="s">
        <v>39</v>
      </c>
      <c r="G96" s="60">
        <v>1</v>
      </c>
      <c r="H96" s="60">
        <f>H102/(H102)</f>
        <v>1</v>
      </c>
      <c r="I96" s="61">
        <f t="shared" si="2"/>
        <v>1</v>
      </c>
      <c r="J96" s="73">
        <f>(I96+I97+I98+I99+I100+I101)/6</f>
        <v>1</v>
      </c>
      <c r="K96" s="73">
        <f>(J96+J102)/2</f>
        <v>1</v>
      </c>
      <c r="L96" s="90" t="str">
        <f>IF(K96&lt;90%,"не выполнено",IF(K96&lt;100%,"в целом выполнено","выполнено"))</f>
        <v>выполнено</v>
      </c>
      <c r="M96" s="58" t="s">
        <v>227</v>
      </c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</row>
    <row r="97" spans="1:54" s="51" customFormat="1" ht="78.75" customHeight="1" x14ac:dyDescent="0.3">
      <c r="A97" s="81"/>
      <c r="B97" s="85"/>
      <c r="C97" s="72"/>
      <c r="D97" s="58" t="s">
        <v>43</v>
      </c>
      <c r="E97" s="59" t="s">
        <v>133</v>
      </c>
      <c r="F97" s="24" t="s">
        <v>40</v>
      </c>
      <c r="G97" s="62">
        <v>0</v>
      </c>
      <c r="H97" s="62">
        <v>0</v>
      </c>
      <c r="I97" s="60">
        <f>IF(H97=0,100%,IF(H97=1,98%,IF(H97=2,96%,IF(H97=3,94%,IF(H97=4,92%,IF(H97=5,90%,89.9%))))))</f>
        <v>1</v>
      </c>
      <c r="J97" s="74"/>
      <c r="K97" s="74"/>
      <c r="L97" s="90"/>
      <c r="M97" s="58" t="s">
        <v>50</v>
      </c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</row>
    <row r="98" spans="1:54" s="51" customFormat="1" ht="65.25" customHeight="1" x14ac:dyDescent="0.3">
      <c r="A98" s="81"/>
      <c r="B98" s="85"/>
      <c r="C98" s="72"/>
      <c r="D98" s="58" t="s">
        <v>44</v>
      </c>
      <c r="E98" s="59" t="s">
        <v>41</v>
      </c>
      <c r="F98" s="24" t="s">
        <v>39</v>
      </c>
      <c r="G98" s="61">
        <v>0.9</v>
      </c>
      <c r="H98" s="61">
        <f>38/42</f>
        <v>0.90476190476190477</v>
      </c>
      <c r="I98" s="61">
        <f>IF(H98&lt;90%,89.9%,100%)</f>
        <v>1</v>
      </c>
      <c r="J98" s="74"/>
      <c r="K98" s="74"/>
      <c r="L98" s="90"/>
      <c r="M98" s="58" t="s">
        <v>123</v>
      </c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</row>
    <row r="99" spans="1:54" s="51" customFormat="1" ht="90.75" customHeight="1" x14ac:dyDescent="0.3">
      <c r="A99" s="81"/>
      <c r="B99" s="85"/>
      <c r="C99" s="72"/>
      <c r="D99" s="58" t="s">
        <v>45</v>
      </c>
      <c r="E99" s="59" t="s">
        <v>134</v>
      </c>
      <c r="F99" s="24" t="s">
        <v>39</v>
      </c>
      <c r="G99" s="61">
        <v>0.9</v>
      </c>
      <c r="H99" s="61">
        <v>1</v>
      </c>
      <c r="I99" s="61">
        <f t="shared" ref="I99:I108" si="3">IF(H99/G99&gt;100%,100%,H99/G99)</f>
        <v>1</v>
      </c>
      <c r="J99" s="74"/>
      <c r="K99" s="74"/>
      <c r="L99" s="90"/>
      <c r="M99" s="58" t="s">
        <v>228</v>
      </c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</row>
    <row r="100" spans="1:54" s="51" customFormat="1" ht="69.75" customHeight="1" x14ac:dyDescent="0.3">
      <c r="A100" s="81"/>
      <c r="B100" s="85"/>
      <c r="C100" s="72"/>
      <c r="D100" s="58" t="s">
        <v>46</v>
      </c>
      <c r="E100" s="59" t="s">
        <v>136</v>
      </c>
      <c r="F100" s="24" t="s">
        <v>39</v>
      </c>
      <c r="G100" s="61">
        <v>1</v>
      </c>
      <c r="H100" s="61">
        <v>1</v>
      </c>
      <c r="I100" s="61">
        <f t="shared" si="3"/>
        <v>1</v>
      </c>
      <c r="J100" s="74"/>
      <c r="K100" s="74"/>
      <c r="L100" s="90"/>
      <c r="M100" s="58" t="s">
        <v>199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</row>
    <row r="101" spans="1:54" s="51" customFormat="1" ht="55.5" customHeight="1" x14ac:dyDescent="0.3">
      <c r="A101" s="81"/>
      <c r="B101" s="85"/>
      <c r="C101" s="72"/>
      <c r="D101" s="58" t="s">
        <v>135</v>
      </c>
      <c r="E101" s="59" t="s">
        <v>47</v>
      </c>
      <c r="F101" s="24" t="s">
        <v>39</v>
      </c>
      <c r="G101" s="61">
        <v>0.91</v>
      </c>
      <c r="H101" s="61">
        <f>9.36/10</f>
        <v>0.93599999999999994</v>
      </c>
      <c r="I101" s="61">
        <f t="shared" si="3"/>
        <v>1</v>
      </c>
      <c r="J101" s="86"/>
      <c r="K101" s="74"/>
      <c r="L101" s="90"/>
      <c r="M101" s="58" t="s">
        <v>230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</row>
    <row r="102" spans="1:54" s="51" customFormat="1" ht="66.75" customHeight="1" x14ac:dyDescent="0.3">
      <c r="A102" s="81"/>
      <c r="B102" s="85"/>
      <c r="C102" s="72"/>
      <c r="D102" s="58" t="s">
        <v>37</v>
      </c>
      <c r="E102" s="59" t="s">
        <v>137</v>
      </c>
      <c r="F102" s="24" t="s">
        <v>48</v>
      </c>
      <c r="G102" s="63">
        <v>2256</v>
      </c>
      <c r="H102" s="63">
        <v>2387</v>
      </c>
      <c r="I102" s="61">
        <f t="shared" si="3"/>
        <v>1</v>
      </c>
      <c r="J102" s="61">
        <f>I102</f>
        <v>1</v>
      </c>
      <c r="K102" s="86"/>
      <c r="L102" s="90"/>
      <c r="M102" s="58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</row>
    <row r="103" spans="1:54" s="51" customFormat="1" ht="106.5" customHeight="1" x14ac:dyDescent="0.3">
      <c r="A103" s="82"/>
      <c r="B103" s="72" t="s">
        <v>118</v>
      </c>
      <c r="C103" s="72" t="s">
        <v>115</v>
      </c>
      <c r="D103" s="58" t="s">
        <v>42</v>
      </c>
      <c r="E103" s="59" t="s">
        <v>132</v>
      </c>
      <c r="F103" s="24" t="s">
        <v>39</v>
      </c>
      <c r="G103" s="60">
        <v>1</v>
      </c>
      <c r="H103" s="60">
        <f>H107/H107</f>
        <v>1</v>
      </c>
      <c r="I103" s="61">
        <f t="shared" si="3"/>
        <v>1</v>
      </c>
      <c r="J103" s="73">
        <f>(I103+I104+I105+I106)/4</f>
        <v>1</v>
      </c>
      <c r="K103" s="73">
        <f>(J103+J107)/2</f>
        <v>1</v>
      </c>
      <c r="L103" s="77" t="str">
        <f>IF(K103&lt;90%,"не выполнено",IF(K103&lt;100%,"в целом выполнено","выполнено"))</f>
        <v>выполнено</v>
      </c>
      <c r="M103" s="58" t="s">
        <v>226</v>
      </c>
      <c r="N103" s="55"/>
      <c r="O103" s="64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</row>
    <row r="104" spans="1:54" s="51" customFormat="1" ht="66.75" customHeight="1" x14ac:dyDescent="0.3">
      <c r="A104" s="82"/>
      <c r="B104" s="72"/>
      <c r="C104" s="72"/>
      <c r="D104" s="58" t="s">
        <v>43</v>
      </c>
      <c r="E104" s="59" t="s">
        <v>41</v>
      </c>
      <c r="F104" s="24" t="s">
        <v>39</v>
      </c>
      <c r="G104" s="61">
        <v>0.9</v>
      </c>
      <c r="H104" s="61">
        <f>80/80</f>
        <v>1</v>
      </c>
      <c r="I104" s="61">
        <f>IF(H104&lt;90%,89.9%,100%)</f>
        <v>1</v>
      </c>
      <c r="J104" s="74"/>
      <c r="K104" s="75"/>
      <c r="L104" s="78"/>
      <c r="M104" s="58" t="s">
        <v>122</v>
      </c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</row>
    <row r="105" spans="1:54" s="51" customFormat="1" ht="90" customHeight="1" x14ac:dyDescent="0.3">
      <c r="A105" s="82"/>
      <c r="B105" s="72"/>
      <c r="C105" s="72"/>
      <c r="D105" s="58" t="s">
        <v>44</v>
      </c>
      <c r="E105" s="59" t="s">
        <v>134</v>
      </c>
      <c r="F105" s="24" t="s">
        <v>39</v>
      </c>
      <c r="G105" s="61">
        <v>0.9</v>
      </c>
      <c r="H105" s="61">
        <v>0.9</v>
      </c>
      <c r="I105" s="61">
        <f>IF(H105/G105&gt;100%,100%,H105/G105)</f>
        <v>1</v>
      </c>
      <c r="J105" s="74"/>
      <c r="K105" s="75"/>
      <c r="L105" s="78"/>
      <c r="M105" s="58" t="s">
        <v>229</v>
      </c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</row>
    <row r="106" spans="1:54" s="51" customFormat="1" ht="66.75" customHeight="1" x14ac:dyDescent="0.3">
      <c r="A106" s="82"/>
      <c r="B106" s="72"/>
      <c r="C106" s="72"/>
      <c r="D106" s="58" t="s">
        <v>45</v>
      </c>
      <c r="E106" s="59" t="s">
        <v>136</v>
      </c>
      <c r="F106" s="24" t="s">
        <v>39</v>
      </c>
      <c r="G106" s="61">
        <v>1</v>
      </c>
      <c r="H106" s="61">
        <v>1</v>
      </c>
      <c r="I106" s="61">
        <f t="shared" si="3"/>
        <v>1</v>
      </c>
      <c r="J106" s="74"/>
      <c r="K106" s="75"/>
      <c r="L106" s="78"/>
      <c r="M106" s="58" t="s">
        <v>199</v>
      </c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</row>
    <row r="107" spans="1:54" s="51" customFormat="1" ht="66" customHeight="1" x14ac:dyDescent="0.3">
      <c r="A107" s="83"/>
      <c r="B107" s="72"/>
      <c r="C107" s="72"/>
      <c r="D107" s="58" t="s">
        <v>37</v>
      </c>
      <c r="E107" s="59" t="s">
        <v>137</v>
      </c>
      <c r="F107" s="24" t="s">
        <v>48</v>
      </c>
      <c r="G107" s="63">
        <f>600+324</f>
        <v>924</v>
      </c>
      <c r="H107" s="63">
        <v>1104</v>
      </c>
      <c r="I107" s="61">
        <f t="shared" si="3"/>
        <v>1</v>
      </c>
      <c r="J107" s="61">
        <f>I107</f>
        <v>1</v>
      </c>
      <c r="K107" s="76"/>
      <c r="L107" s="79"/>
      <c r="M107" s="58" t="s">
        <v>49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</row>
    <row r="108" spans="1:54" s="51" customFormat="1" ht="106.5" customHeight="1" x14ac:dyDescent="0.3">
      <c r="A108" s="80" t="s">
        <v>26</v>
      </c>
      <c r="B108" s="84" t="s">
        <v>117</v>
      </c>
      <c r="C108" s="72" t="s">
        <v>115</v>
      </c>
      <c r="D108" s="58" t="s">
        <v>42</v>
      </c>
      <c r="E108" s="59" t="s">
        <v>132</v>
      </c>
      <c r="F108" s="24" t="s">
        <v>39</v>
      </c>
      <c r="G108" s="60">
        <v>1</v>
      </c>
      <c r="H108" s="60">
        <f>H114/(H114)</f>
        <v>1</v>
      </c>
      <c r="I108" s="61">
        <f t="shared" si="3"/>
        <v>1</v>
      </c>
      <c r="J108" s="73">
        <f>(I108+I109+I110+I111+I112+I113)/6</f>
        <v>1</v>
      </c>
      <c r="K108" s="73">
        <f>(J108+J114)/2</f>
        <v>1</v>
      </c>
      <c r="L108" s="90" t="str">
        <f>IF(K108&lt;90%,"не выполнено",IF(K108&lt;100%,"в целом выполнено","выполнено"))</f>
        <v>выполнено</v>
      </c>
      <c r="M108" s="58" t="s">
        <v>245</v>
      </c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</row>
    <row r="109" spans="1:54" s="51" customFormat="1" ht="78.75" customHeight="1" x14ac:dyDescent="0.3">
      <c r="A109" s="81"/>
      <c r="B109" s="85"/>
      <c r="C109" s="72"/>
      <c r="D109" s="58" t="s">
        <v>43</v>
      </c>
      <c r="E109" s="59" t="s">
        <v>133</v>
      </c>
      <c r="F109" s="24" t="s">
        <v>40</v>
      </c>
      <c r="G109" s="62">
        <v>0</v>
      </c>
      <c r="H109" s="62">
        <v>0</v>
      </c>
      <c r="I109" s="60">
        <f>IF(H109=0,100%,IF(H109=1,98%,IF(H109=2,96%,IF(H109=3,94%,IF(H109=4,92%,IF(H109=5,90%,89.9%))))))</f>
        <v>1</v>
      </c>
      <c r="J109" s="74"/>
      <c r="K109" s="74"/>
      <c r="L109" s="90"/>
      <c r="M109" s="58" t="s">
        <v>50</v>
      </c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</row>
    <row r="110" spans="1:54" s="51" customFormat="1" ht="65.25" customHeight="1" x14ac:dyDescent="0.3">
      <c r="A110" s="81"/>
      <c r="B110" s="85"/>
      <c r="C110" s="72"/>
      <c r="D110" s="58" t="s">
        <v>44</v>
      </c>
      <c r="E110" s="59" t="s">
        <v>41</v>
      </c>
      <c r="F110" s="24" t="s">
        <v>39</v>
      </c>
      <c r="G110" s="61">
        <v>0.9</v>
      </c>
      <c r="H110" s="61">
        <f>18.5/20</f>
        <v>0.92500000000000004</v>
      </c>
      <c r="I110" s="61">
        <f>IF(H110&lt;90%,89.9%,100%)</f>
        <v>1</v>
      </c>
      <c r="J110" s="74"/>
      <c r="K110" s="74"/>
      <c r="L110" s="90"/>
      <c r="M110" s="58" t="s">
        <v>159</v>
      </c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</row>
    <row r="111" spans="1:54" s="51" customFormat="1" ht="90.75" customHeight="1" x14ac:dyDescent="0.3">
      <c r="A111" s="81"/>
      <c r="B111" s="85"/>
      <c r="C111" s="72"/>
      <c r="D111" s="58" t="s">
        <v>45</v>
      </c>
      <c r="E111" s="59" t="s">
        <v>134</v>
      </c>
      <c r="F111" s="24" t="s">
        <v>39</v>
      </c>
      <c r="G111" s="61">
        <v>0.9</v>
      </c>
      <c r="H111" s="61">
        <v>1</v>
      </c>
      <c r="I111" s="61">
        <f t="shared" ref="I111:I120" si="4">IF(H111/G111&gt;100%,100%,H111/G111)</f>
        <v>1</v>
      </c>
      <c r="J111" s="74"/>
      <c r="K111" s="74"/>
      <c r="L111" s="90"/>
      <c r="M111" s="58" t="s">
        <v>182</v>
      </c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</row>
    <row r="112" spans="1:54" s="51" customFormat="1" ht="69.75" customHeight="1" x14ac:dyDescent="0.3">
      <c r="A112" s="81"/>
      <c r="B112" s="85"/>
      <c r="C112" s="72"/>
      <c r="D112" s="58" t="s">
        <v>46</v>
      </c>
      <c r="E112" s="59" t="s">
        <v>136</v>
      </c>
      <c r="F112" s="24" t="s">
        <v>39</v>
      </c>
      <c r="G112" s="61">
        <v>1</v>
      </c>
      <c r="H112" s="61">
        <v>1</v>
      </c>
      <c r="I112" s="61">
        <f t="shared" si="4"/>
        <v>1</v>
      </c>
      <c r="J112" s="74"/>
      <c r="K112" s="74"/>
      <c r="L112" s="90"/>
      <c r="M112" s="58" t="s">
        <v>183</v>
      </c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</row>
    <row r="113" spans="1:54" s="51" customFormat="1" ht="55.5" customHeight="1" x14ac:dyDescent="0.3">
      <c r="A113" s="81"/>
      <c r="B113" s="85"/>
      <c r="C113" s="72"/>
      <c r="D113" s="58" t="s">
        <v>135</v>
      </c>
      <c r="E113" s="59" t="s">
        <v>47</v>
      </c>
      <c r="F113" s="24" t="s">
        <v>39</v>
      </c>
      <c r="G113" s="61">
        <v>0.98</v>
      </c>
      <c r="H113" s="61">
        <v>0.98670000000000002</v>
      </c>
      <c r="I113" s="61">
        <f t="shared" si="4"/>
        <v>1</v>
      </c>
      <c r="J113" s="86"/>
      <c r="K113" s="74"/>
      <c r="L113" s="90"/>
      <c r="M113" s="58" t="s">
        <v>244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</row>
    <row r="114" spans="1:54" s="51" customFormat="1" ht="66.75" customHeight="1" x14ac:dyDescent="0.3">
      <c r="A114" s="81"/>
      <c r="B114" s="85"/>
      <c r="C114" s="72"/>
      <c r="D114" s="58" t="s">
        <v>37</v>
      </c>
      <c r="E114" s="59" t="s">
        <v>137</v>
      </c>
      <c r="F114" s="24" t="s">
        <v>48</v>
      </c>
      <c r="G114" s="63">
        <v>1276</v>
      </c>
      <c r="H114" s="63">
        <v>1514</v>
      </c>
      <c r="I114" s="61">
        <f t="shared" si="4"/>
        <v>1</v>
      </c>
      <c r="J114" s="61">
        <f>I114</f>
        <v>1</v>
      </c>
      <c r="K114" s="86"/>
      <c r="L114" s="90"/>
      <c r="M114" s="58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</row>
    <row r="115" spans="1:54" s="51" customFormat="1" ht="106.5" customHeight="1" x14ac:dyDescent="0.3">
      <c r="A115" s="82"/>
      <c r="B115" s="72" t="s">
        <v>118</v>
      </c>
      <c r="C115" s="72" t="s">
        <v>115</v>
      </c>
      <c r="D115" s="58" t="s">
        <v>42</v>
      </c>
      <c r="E115" s="59" t="s">
        <v>132</v>
      </c>
      <c r="F115" s="24" t="s">
        <v>39</v>
      </c>
      <c r="G115" s="60">
        <v>1</v>
      </c>
      <c r="H115" s="60">
        <f>H119/H119</f>
        <v>1</v>
      </c>
      <c r="I115" s="61">
        <f t="shared" si="4"/>
        <v>1</v>
      </c>
      <c r="J115" s="73">
        <f>(I115+I116+I117+I118)/4</f>
        <v>1</v>
      </c>
      <c r="K115" s="73">
        <f>(J115+J119)/2</f>
        <v>1</v>
      </c>
      <c r="L115" s="77" t="str">
        <f>IF(K115&lt;90%,"не выполнено",IF(K115&lt;100%,"в целом выполнено","выполнено"))</f>
        <v>выполнено</v>
      </c>
      <c r="M115" s="58" t="s">
        <v>246</v>
      </c>
      <c r="N115" s="55"/>
      <c r="O115" s="64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</row>
    <row r="116" spans="1:54" s="51" customFormat="1" ht="66.75" customHeight="1" x14ac:dyDescent="0.3">
      <c r="A116" s="82"/>
      <c r="B116" s="72"/>
      <c r="C116" s="72"/>
      <c r="D116" s="58" t="s">
        <v>43</v>
      </c>
      <c r="E116" s="59" t="s">
        <v>41</v>
      </c>
      <c r="F116" s="24" t="s">
        <v>39</v>
      </c>
      <c r="G116" s="61">
        <v>0.9</v>
      </c>
      <c r="H116" s="61">
        <f>80/82</f>
        <v>0.97560975609756095</v>
      </c>
      <c r="I116" s="61">
        <f>IF(H116&lt;90%,89.9%,100%)</f>
        <v>1</v>
      </c>
      <c r="J116" s="74"/>
      <c r="K116" s="75"/>
      <c r="L116" s="78"/>
      <c r="M116" s="58" t="s">
        <v>243</v>
      </c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</row>
    <row r="117" spans="1:54" s="51" customFormat="1" ht="90" customHeight="1" x14ac:dyDescent="0.3">
      <c r="A117" s="82"/>
      <c r="B117" s="72"/>
      <c r="C117" s="72"/>
      <c r="D117" s="58" t="s">
        <v>44</v>
      </c>
      <c r="E117" s="59" t="s">
        <v>134</v>
      </c>
      <c r="F117" s="24" t="s">
        <v>39</v>
      </c>
      <c r="G117" s="61">
        <v>0.9</v>
      </c>
      <c r="H117" s="61">
        <v>1</v>
      </c>
      <c r="I117" s="61">
        <f>IF(H117/G117&gt;100%,100%,H117/G117)</f>
        <v>1</v>
      </c>
      <c r="J117" s="74"/>
      <c r="K117" s="75"/>
      <c r="L117" s="78"/>
      <c r="M117" s="58" t="s">
        <v>184</v>
      </c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</row>
    <row r="118" spans="1:54" s="51" customFormat="1" ht="66.75" customHeight="1" x14ac:dyDescent="0.3">
      <c r="A118" s="82"/>
      <c r="B118" s="72"/>
      <c r="C118" s="72"/>
      <c r="D118" s="58" t="s">
        <v>45</v>
      </c>
      <c r="E118" s="59" t="s">
        <v>136</v>
      </c>
      <c r="F118" s="24" t="s">
        <v>39</v>
      </c>
      <c r="G118" s="61">
        <v>1</v>
      </c>
      <c r="H118" s="61">
        <v>1</v>
      </c>
      <c r="I118" s="61">
        <f t="shared" si="4"/>
        <v>1</v>
      </c>
      <c r="J118" s="74"/>
      <c r="K118" s="75"/>
      <c r="L118" s="78"/>
      <c r="M118" s="58" t="s">
        <v>185</v>
      </c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</row>
    <row r="119" spans="1:54" s="51" customFormat="1" ht="66" customHeight="1" x14ac:dyDescent="0.3">
      <c r="A119" s="83"/>
      <c r="B119" s="72"/>
      <c r="C119" s="72"/>
      <c r="D119" s="58" t="s">
        <v>37</v>
      </c>
      <c r="E119" s="59" t="s">
        <v>137</v>
      </c>
      <c r="F119" s="24" t="s">
        <v>48</v>
      </c>
      <c r="G119" s="63">
        <f>755+229</f>
        <v>984</v>
      </c>
      <c r="H119" s="63">
        <v>1203</v>
      </c>
      <c r="I119" s="61">
        <f t="shared" si="4"/>
        <v>1</v>
      </c>
      <c r="J119" s="61">
        <f>I119</f>
        <v>1</v>
      </c>
      <c r="K119" s="76"/>
      <c r="L119" s="79"/>
      <c r="M119" s="58" t="s">
        <v>49</v>
      </c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</row>
    <row r="120" spans="1:54" s="51" customFormat="1" ht="106.5" customHeight="1" x14ac:dyDescent="0.3">
      <c r="A120" s="80" t="s">
        <v>25</v>
      </c>
      <c r="B120" s="84" t="s">
        <v>117</v>
      </c>
      <c r="C120" s="72" t="s">
        <v>115</v>
      </c>
      <c r="D120" s="58" t="s">
        <v>42</v>
      </c>
      <c r="E120" s="59" t="s">
        <v>132</v>
      </c>
      <c r="F120" s="24" t="s">
        <v>39</v>
      </c>
      <c r="G120" s="60">
        <v>1</v>
      </c>
      <c r="H120" s="60">
        <f>H126/H126</f>
        <v>1</v>
      </c>
      <c r="I120" s="61">
        <f t="shared" si="4"/>
        <v>1</v>
      </c>
      <c r="J120" s="73">
        <f>(I120+I121+I122+I123+I124+I125)/6</f>
        <v>1</v>
      </c>
      <c r="K120" s="73">
        <f>(J120+J126)/2</f>
        <v>1</v>
      </c>
      <c r="L120" s="90" t="str">
        <f>IF(K120&lt;90%,"не выполнено",IF(K120&lt;100%,"в целом выполнено","выполнено"))</f>
        <v>выполнено</v>
      </c>
      <c r="M120" s="58" t="s">
        <v>233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</row>
    <row r="121" spans="1:54" s="51" customFormat="1" ht="78.75" customHeight="1" x14ac:dyDescent="0.3">
      <c r="A121" s="81"/>
      <c r="B121" s="85"/>
      <c r="C121" s="72"/>
      <c r="D121" s="58" t="s">
        <v>43</v>
      </c>
      <c r="E121" s="59" t="s">
        <v>133</v>
      </c>
      <c r="F121" s="24" t="s">
        <v>40</v>
      </c>
      <c r="G121" s="62">
        <v>0</v>
      </c>
      <c r="H121" s="62">
        <v>0</v>
      </c>
      <c r="I121" s="60">
        <f>IF(H121=0,100%,IF(H121=1,98%,IF(H121=2,96%,IF(H121=3,94%,IF(H121=4,92%,IF(H121=5,90%,89.9%))))))</f>
        <v>1</v>
      </c>
      <c r="J121" s="74"/>
      <c r="K121" s="74"/>
      <c r="L121" s="90"/>
      <c r="M121" s="58" t="s">
        <v>50</v>
      </c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</row>
    <row r="122" spans="1:54" s="51" customFormat="1" ht="65.25" customHeight="1" x14ac:dyDescent="0.3">
      <c r="A122" s="81"/>
      <c r="B122" s="85"/>
      <c r="C122" s="72"/>
      <c r="D122" s="58" t="s">
        <v>44</v>
      </c>
      <c r="E122" s="59" t="s">
        <v>41</v>
      </c>
      <c r="F122" s="24" t="s">
        <v>39</v>
      </c>
      <c r="G122" s="61">
        <v>0.9</v>
      </c>
      <c r="H122" s="61">
        <f>14.5/15</f>
        <v>0.96666666666666667</v>
      </c>
      <c r="I122" s="61">
        <f>IF(H122&lt;90%,89.9%,100%)</f>
        <v>1</v>
      </c>
      <c r="J122" s="74"/>
      <c r="K122" s="74"/>
      <c r="L122" s="90"/>
      <c r="M122" s="58" t="s">
        <v>160</v>
      </c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</row>
    <row r="123" spans="1:54" s="51" customFormat="1" ht="90.75" customHeight="1" x14ac:dyDescent="0.3">
      <c r="A123" s="81"/>
      <c r="B123" s="85"/>
      <c r="C123" s="72"/>
      <c r="D123" s="58" t="s">
        <v>45</v>
      </c>
      <c r="E123" s="59" t="s">
        <v>134</v>
      </c>
      <c r="F123" s="24" t="s">
        <v>39</v>
      </c>
      <c r="G123" s="61">
        <v>0.9</v>
      </c>
      <c r="H123" s="61">
        <v>0.98</v>
      </c>
      <c r="I123" s="61">
        <f t="shared" ref="I123:I132" si="5">IF(H123/G123&gt;100%,100%,H123/G123)</f>
        <v>1</v>
      </c>
      <c r="J123" s="74"/>
      <c r="K123" s="74"/>
      <c r="L123" s="90"/>
      <c r="M123" s="58" t="s">
        <v>234</v>
      </c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</row>
    <row r="124" spans="1:54" s="51" customFormat="1" ht="69.75" customHeight="1" x14ac:dyDescent="0.3">
      <c r="A124" s="81"/>
      <c r="B124" s="85"/>
      <c r="C124" s="72"/>
      <c r="D124" s="58" t="s">
        <v>46</v>
      </c>
      <c r="E124" s="59" t="s">
        <v>136</v>
      </c>
      <c r="F124" s="24" t="s">
        <v>39</v>
      </c>
      <c r="G124" s="61">
        <v>1</v>
      </c>
      <c r="H124" s="61">
        <v>1</v>
      </c>
      <c r="I124" s="61">
        <f t="shared" si="5"/>
        <v>1</v>
      </c>
      <c r="J124" s="74"/>
      <c r="K124" s="74"/>
      <c r="L124" s="90"/>
      <c r="M124" s="58" t="s">
        <v>187</v>
      </c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</row>
    <row r="125" spans="1:54" s="51" customFormat="1" ht="55.5" customHeight="1" x14ac:dyDescent="0.3">
      <c r="A125" s="81"/>
      <c r="B125" s="85"/>
      <c r="C125" s="72"/>
      <c r="D125" s="58" t="s">
        <v>135</v>
      </c>
      <c r="E125" s="59" t="s">
        <v>47</v>
      </c>
      <c r="F125" s="24" t="s">
        <v>39</v>
      </c>
      <c r="G125" s="61">
        <v>0.9</v>
      </c>
      <c r="H125" s="61">
        <v>0.96</v>
      </c>
      <c r="I125" s="61">
        <f t="shared" si="5"/>
        <v>1</v>
      </c>
      <c r="J125" s="86"/>
      <c r="K125" s="74"/>
      <c r="L125" s="90"/>
      <c r="M125" s="58" t="s">
        <v>161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</row>
    <row r="126" spans="1:54" s="51" customFormat="1" ht="66.75" customHeight="1" x14ac:dyDescent="0.3">
      <c r="A126" s="81"/>
      <c r="B126" s="85"/>
      <c r="C126" s="72"/>
      <c r="D126" s="58" t="s">
        <v>37</v>
      </c>
      <c r="E126" s="59" t="s">
        <v>137</v>
      </c>
      <c r="F126" s="24" t="s">
        <v>48</v>
      </c>
      <c r="G126" s="63">
        <v>1180</v>
      </c>
      <c r="H126" s="63">
        <v>1202</v>
      </c>
      <c r="I126" s="61">
        <f t="shared" si="5"/>
        <v>1</v>
      </c>
      <c r="J126" s="61">
        <f>I126</f>
        <v>1</v>
      </c>
      <c r="K126" s="86"/>
      <c r="L126" s="90"/>
      <c r="M126" s="58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</row>
    <row r="127" spans="1:54" s="51" customFormat="1" ht="106.5" customHeight="1" x14ac:dyDescent="0.3">
      <c r="A127" s="82"/>
      <c r="B127" s="72" t="s">
        <v>118</v>
      </c>
      <c r="C127" s="72" t="s">
        <v>115</v>
      </c>
      <c r="D127" s="58" t="s">
        <v>42</v>
      </c>
      <c r="E127" s="59" t="s">
        <v>132</v>
      </c>
      <c r="F127" s="24" t="s">
        <v>39</v>
      </c>
      <c r="G127" s="60">
        <v>1</v>
      </c>
      <c r="H127" s="60">
        <f>H131/H131</f>
        <v>1</v>
      </c>
      <c r="I127" s="61">
        <f t="shared" si="5"/>
        <v>1</v>
      </c>
      <c r="J127" s="73">
        <f>(I127+I128+I129+I130)/4</f>
        <v>1</v>
      </c>
      <c r="K127" s="73">
        <f>(J127+J131)/2</f>
        <v>1</v>
      </c>
      <c r="L127" s="77" t="str">
        <f>IF(K127&lt;90%,"не выполнено",IF(K127&lt;100%,"в целом выполнено","выполнено"))</f>
        <v>выполнено</v>
      </c>
      <c r="M127" s="58" t="s">
        <v>232</v>
      </c>
      <c r="N127" s="55"/>
      <c r="O127" s="64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</row>
    <row r="128" spans="1:54" s="51" customFormat="1" ht="66.75" customHeight="1" x14ac:dyDescent="0.3">
      <c r="A128" s="82"/>
      <c r="B128" s="72"/>
      <c r="C128" s="72"/>
      <c r="D128" s="58" t="s">
        <v>43</v>
      </c>
      <c r="E128" s="59" t="s">
        <v>41</v>
      </c>
      <c r="F128" s="24" t="s">
        <v>39</v>
      </c>
      <c r="G128" s="61">
        <v>0.9</v>
      </c>
      <c r="H128" s="61">
        <f>60/60</f>
        <v>1</v>
      </c>
      <c r="I128" s="61">
        <f>IF(H128&lt;90%,89.9%,100%)</f>
        <v>1</v>
      </c>
      <c r="J128" s="74"/>
      <c r="K128" s="75"/>
      <c r="L128" s="78"/>
      <c r="M128" s="58" t="s">
        <v>162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</row>
    <row r="129" spans="1:54" s="51" customFormat="1" ht="90" customHeight="1" x14ac:dyDescent="0.3">
      <c r="A129" s="82"/>
      <c r="B129" s="72"/>
      <c r="C129" s="72"/>
      <c r="D129" s="58" t="s">
        <v>44</v>
      </c>
      <c r="E129" s="59" t="s">
        <v>134</v>
      </c>
      <c r="F129" s="24" t="s">
        <v>39</v>
      </c>
      <c r="G129" s="61">
        <v>0.9</v>
      </c>
      <c r="H129" s="61">
        <f>427/437</f>
        <v>0.97711670480549195</v>
      </c>
      <c r="I129" s="61">
        <f>IF(H129/G129&gt;100%,100%,H129/G129)</f>
        <v>1</v>
      </c>
      <c r="J129" s="74"/>
      <c r="K129" s="75"/>
      <c r="L129" s="78"/>
      <c r="M129" s="58" t="s">
        <v>251</v>
      </c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</row>
    <row r="130" spans="1:54" s="51" customFormat="1" ht="66.75" customHeight="1" x14ac:dyDescent="0.3">
      <c r="A130" s="82"/>
      <c r="B130" s="72"/>
      <c r="C130" s="72"/>
      <c r="D130" s="58" t="s">
        <v>45</v>
      </c>
      <c r="E130" s="59" t="s">
        <v>136</v>
      </c>
      <c r="F130" s="24" t="s">
        <v>39</v>
      </c>
      <c r="G130" s="61">
        <v>1</v>
      </c>
      <c r="H130" s="61">
        <v>1</v>
      </c>
      <c r="I130" s="61">
        <f t="shared" si="5"/>
        <v>1</v>
      </c>
      <c r="J130" s="74"/>
      <c r="K130" s="75"/>
      <c r="L130" s="78"/>
      <c r="M130" s="58" t="s">
        <v>188</v>
      </c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</row>
    <row r="131" spans="1:54" s="51" customFormat="1" ht="66" customHeight="1" x14ac:dyDescent="0.3">
      <c r="A131" s="83"/>
      <c r="B131" s="72"/>
      <c r="C131" s="72"/>
      <c r="D131" s="58" t="s">
        <v>37</v>
      </c>
      <c r="E131" s="59" t="s">
        <v>137</v>
      </c>
      <c r="F131" s="24" t="s">
        <v>48</v>
      </c>
      <c r="G131" s="63">
        <v>825</v>
      </c>
      <c r="H131" s="63">
        <v>865</v>
      </c>
      <c r="I131" s="61">
        <f t="shared" si="5"/>
        <v>1</v>
      </c>
      <c r="J131" s="61">
        <f>I131</f>
        <v>1</v>
      </c>
      <c r="K131" s="76"/>
      <c r="L131" s="79"/>
      <c r="M131" s="58" t="s">
        <v>49</v>
      </c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</row>
    <row r="132" spans="1:54" s="51" customFormat="1" ht="106.5" customHeight="1" x14ac:dyDescent="0.3">
      <c r="A132" s="80" t="s">
        <v>24</v>
      </c>
      <c r="B132" s="84" t="s">
        <v>117</v>
      </c>
      <c r="C132" s="72" t="s">
        <v>115</v>
      </c>
      <c r="D132" s="58" t="s">
        <v>42</v>
      </c>
      <c r="E132" s="59" t="s">
        <v>132</v>
      </c>
      <c r="F132" s="24" t="s">
        <v>39</v>
      </c>
      <c r="G132" s="60">
        <v>1</v>
      </c>
      <c r="H132" s="60">
        <f>H138/(H138)</f>
        <v>1</v>
      </c>
      <c r="I132" s="61">
        <f t="shared" si="5"/>
        <v>1</v>
      </c>
      <c r="J132" s="73">
        <f>(I132+I133+I134+I135+I136+I137)/6</f>
        <v>1</v>
      </c>
      <c r="K132" s="73">
        <f>(J132+J138)/2</f>
        <v>1</v>
      </c>
      <c r="L132" s="90" t="str">
        <f>IF(K132&lt;90%,"не выполнено",IF(K132&lt;100%,"в целом выполнено","выполнено"))</f>
        <v>выполнено</v>
      </c>
      <c r="M132" s="58" t="s">
        <v>163</v>
      </c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</row>
    <row r="133" spans="1:54" s="51" customFormat="1" ht="78.75" customHeight="1" x14ac:dyDescent="0.3">
      <c r="A133" s="81"/>
      <c r="B133" s="85"/>
      <c r="C133" s="72"/>
      <c r="D133" s="58" t="s">
        <v>43</v>
      </c>
      <c r="E133" s="59" t="s">
        <v>133</v>
      </c>
      <c r="F133" s="24" t="s">
        <v>40</v>
      </c>
      <c r="G133" s="62">
        <v>0</v>
      </c>
      <c r="H133" s="62">
        <v>0</v>
      </c>
      <c r="I133" s="60">
        <f>IF(H133=0,100%,IF(H133=1,98%,IF(H133=2,96%,IF(H133=3,94%,IF(H133=4,92%,IF(H133=5,90%,89.9%))))))</f>
        <v>1</v>
      </c>
      <c r="J133" s="74"/>
      <c r="K133" s="74"/>
      <c r="L133" s="90"/>
      <c r="M133" s="58" t="s">
        <v>50</v>
      </c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</row>
    <row r="134" spans="1:54" s="51" customFormat="1" ht="65.25" customHeight="1" x14ac:dyDescent="0.3">
      <c r="A134" s="81"/>
      <c r="B134" s="85"/>
      <c r="C134" s="72"/>
      <c r="D134" s="58" t="s">
        <v>44</v>
      </c>
      <c r="E134" s="59" t="s">
        <v>41</v>
      </c>
      <c r="F134" s="24" t="s">
        <v>39</v>
      </c>
      <c r="G134" s="61">
        <v>0.9</v>
      </c>
      <c r="H134" s="61">
        <f>34.5/38</f>
        <v>0.90789473684210531</v>
      </c>
      <c r="I134" s="61">
        <f>IF(H134&lt;90%,89.9%,100%)</f>
        <v>1</v>
      </c>
      <c r="J134" s="74"/>
      <c r="K134" s="74"/>
      <c r="L134" s="90"/>
      <c r="M134" s="58" t="s">
        <v>189</v>
      </c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</row>
    <row r="135" spans="1:54" s="51" customFormat="1" ht="90.75" customHeight="1" x14ac:dyDescent="0.3">
      <c r="A135" s="81"/>
      <c r="B135" s="85"/>
      <c r="C135" s="72"/>
      <c r="D135" s="58" t="s">
        <v>45</v>
      </c>
      <c r="E135" s="59" t="s">
        <v>134</v>
      </c>
      <c r="F135" s="24" t="s">
        <v>39</v>
      </c>
      <c r="G135" s="61">
        <v>0.9</v>
      </c>
      <c r="H135" s="61">
        <v>1</v>
      </c>
      <c r="I135" s="61">
        <f t="shared" ref="I135:I143" si="6">IF(H135/G135&gt;100%,100%,H135/G135)</f>
        <v>1</v>
      </c>
      <c r="J135" s="74"/>
      <c r="K135" s="74"/>
      <c r="L135" s="90"/>
      <c r="M135" s="58" t="s">
        <v>190</v>
      </c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</row>
    <row r="136" spans="1:54" s="51" customFormat="1" ht="69.75" customHeight="1" x14ac:dyDescent="0.3">
      <c r="A136" s="81"/>
      <c r="B136" s="85"/>
      <c r="C136" s="72"/>
      <c r="D136" s="58" t="s">
        <v>46</v>
      </c>
      <c r="E136" s="59" t="s">
        <v>136</v>
      </c>
      <c r="F136" s="24" t="s">
        <v>39</v>
      </c>
      <c r="G136" s="61">
        <v>1</v>
      </c>
      <c r="H136" s="61">
        <v>1</v>
      </c>
      <c r="I136" s="61">
        <f t="shared" si="6"/>
        <v>1</v>
      </c>
      <c r="J136" s="74"/>
      <c r="K136" s="74"/>
      <c r="L136" s="90"/>
      <c r="M136" s="58" t="s">
        <v>191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</row>
    <row r="137" spans="1:54" s="51" customFormat="1" ht="55.5" customHeight="1" x14ac:dyDescent="0.3">
      <c r="A137" s="81"/>
      <c r="B137" s="85"/>
      <c r="C137" s="72"/>
      <c r="D137" s="58" t="s">
        <v>135</v>
      </c>
      <c r="E137" s="59" t="s">
        <v>47</v>
      </c>
      <c r="F137" s="24" t="s">
        <v>39</v>
      </c>
      <c r="G137" s="61">
        <v>0.98</v>
      </c>
      <c r="H137" s="61">
        <f>9.8/10</f>
        <v>0.98000000000000009</v>
      </c>
      <c r="I137" s="61">
        <f t="shared" si="6"/>
        <v>1.0000000000000002</v>
      </c>
      <c r="J137" s="86"/>
      <c r="K137" s="74"/>
      <c r="L137" s="90"/>
      <c r="M137" s="58" t="s">
        <v>147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</row>
    <row r="138" spans="1:54" s="51" customFormat="1" ht="66.75" customHeight="1" x14ac:dyDescent="0.3">
      <c r="A138" s="81"/>
      <c r="B138" s="85"/>
      <c r="C138" s="72"/>
      <c r="D138" s="58" t="s">
        <v>37</v>
      </c>
      <c r="E138" s="59" t="s">
        <v>137</v>
      </c>
      <c r="F138" s="24" t="s">
        <v>48</v>
      </c>
      <c r="G138" s="63">
        <v>2482</v>
      </c>
      <c r="H138" s="63">
        <v>2482</v>
      </c>
      <c r="I138" s="61">
        <f t="shared" si="6"/>
        <v>1</v>
      </c>
      <c r="J138" s="61">
        <f>I138</f>
        <v>1</v>
      </c>
      <c r="K138" s="86"/>
      <c r="L138" s="90"/>
      <c r="M138" s="58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</row>
    <row r="139" spans="1:54" s="51" customFormat="1" ht="106.5" customHeight="1" x14ac:dyDescent="0.3">
      <c r="A139" s="82"/>
      <c r="B139" s="72" t="s">
        <v>118</v>
      </c>
      <c r="C139" s="72" t="s">
        <v>115</v>
      </c>
      <c r="D139" s="58" t="s">
        <v>42</v>
      </c>
      <c r="E139" s="59" t="s">
        <v>132</v>
      </c>
      <c r="F139" s="24" t="s">
        <v>39</v>
      </c>
      <c r="G139" s="60">
        <v>1</v>
      </c>
      <c r="H139" s="60">
        <f>H143/H143</f>
        <v>1</v>
      </c>
      <c r="I139" s="61">
        <f t="shared" si="6"/>
        <v>1</v>
      </c>
      <c r="J139" s="73">
        <f>(I139+I140+I141+I142)/4</f>
        <v>1</v>
      </c>
      <c r="K139" s="73">
        <f>(J139+J143)/2</f>
        <v>1</v>
      </c>
      <c r="L139" s="77" t="str">
        <f>IF(K139&lt;90%,"не выполнено",IF(K139&lt;100%,"в целом выполнено","выполнено"))</f>
        <v>выполнено</v>
      </c>
      <c r="M139" s="58" t="s">
        <v>235</v>
      </c>
      <c r="N139" s="55"/>
      <c r="O139" s="64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</row>
    <row r="140" spans="1:54" s="51" customFormat="1" ht="66.75" customHeight="1" x14ac:dyDescent="0.3">
      <c r="A140" s="82"/>
      <c r="B140" s="72"/>
      <c r="C140" s="72"/>
      <c r="D140" s="58" t="s">
        <v>43</v>
      </c>
      <c r="E140" s="59" t="s">
        <v>41</v>
      </c>
      <c r="F140" s="24" t="s">
        <v>39</v>
      </c>
      <c r="G140" s="61">
        <v>0.9</v>
      </c>
      <c r="H140" s="61">
        <f>85/85</f>
        <v>1</v>
      </c>
      <c r="I140" s="61">
        <f>IF(H140&lt;90%,89.9%,100%)</f>
        <v>1</v>
      </c>
      <c r="J140" s="74"/>
      <c r="K140" s="75"/>
      <c r="L140" s="78"/>
      <c r="M140" s="58" t="s">
        <v>140</v>
      </c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</row>
    <row r="141" spans="1:54" s="51" customFormat="1" ht="90" customHeight="1" x14ac:dyDescent="0.3">
      <c r="A141" s="82"/>
      <c r="B141" s="72"/>
      <c r="C141" s="72"/>
      <c r="D141" s="58" t="s">
        <v>44</v>
      </c>
      <c r="E141" s="59" t="s">
        <v>134</v>
      </c>
      <c r="F141" s="24" t="s">
        <v>39</v>
      </c>
      <c r="G141" s="61">
        <v>0.9</v>
      </c>
      <c r="H141" s="61">
        <f>287/298</f>
        <v>0.96308724832214765</v>
      </c>
      <c r="I141" s="61">
        <f>IF(H141/G141&gt;100%,100%,H141/G141)</f>
        <v>1</v>
      </c>
      <c r="J141" s="74"/>
      <c r="K141" s="75"/>
      <c r="L141" s="78"/>
      <c r="M141" s="58" t="s">
        <v>236</v>
      </c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</row>
    <row r="142" spans="1:54" s="51" customFormat="1" ht="66.75" customHeight="1" x14ac:dyDescent="0.3">
      <c r="A142" s="82"/>
      <c r="B142" s="72"/>
      <c r="C142" s="72"/>
      <c r="D142" s="58" t="s">
        <v>45</v>
      </c>
      <c r="E142" s="59" t="s">
        <v>136</v>
      </c>
      <c r="F142" s="24" t="s">
        <v>39</v>
      </c>
      <c r="G142" s="61">
        <v>1</v>
      </c>
      <c r="H142" s="61">
        <v>1</v>
      </c>
      <c r="I142" s="61">
        <f t="shared" si="6"/>
        <v>1</v>
      </c>
      <c r="J142" s="74"/>
      <c r="K142" s="75"/>
      <c r="L142" s="78"/>
      <c r="M142" s="58" t="s">
        <v>191</v>
      </c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</row>
    <row r="143" spans="1:54" s="51" customFormat="1" ht="66" customHeight="1" x14ac:dyDescent="0.3">
      <c r="A143" s="83"/>
      <c r="B143" s="72"/>
      <c r="C143" s="72"/>
      <c r="D143" s="58" t="s">
        <v>37</v>
      </c>
      <c r="E143" s="59" t="s">
        <v>137</v>
      </c>
      <c r="F143" s="24" t="s">
        <v>48</v>
      </c>
      <c r="G143" s="63">
        <f>640+328</f>
        <v>968</v>
      </c>
      <c r="H143" s="63">
        <v>1134</v>
      </c>
      <c r="I143" s="61">
        <f t="shared" si="6"/>
        <v>1</v>
      </c>
      <c r="J143" s="61">
        <f>I143</f>
        <v>1</v>
      </c>
      <c r="K143" s="76"/>
      <c r="L143" s="79"/>
      <c r="M143" s="58" t="s">
        <v>49</v>
      </c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</row>
    <row r="144" spans="1:54" s="51" customFormat="1" ht="106.5" customHeight="1" x14ac:dyDescent="0.3">
      <c r="A144" s="80" t="s">
        <v>23</v>
      </c>
      <c r="B144" s="84" t="s">
        <v>117</v>
      </c>
      <c r="C144" s="72" t="s">
        <v>115</v>
      </c>
      <c r="D144" s="58" t="s">
        <v>42</v>
      </c>
      <c r="E144" s="59" t="s">
        <v>132</v>
      </c>
      <c r="F144" s="24" t="s">
        <v>39</v>
      </c>
      <c r="G144" s="60">
        <v>1</v>
      </c>
      <c r="H144" s="60">
        <f>H150/(H150)</f>
        <v>1</v>
      </c>
      <c r="I144" s="61">
        <f>IF(H144/G144&gt;100%,100%,H144/G144)</f>
        <v>1</v>
      </c>
      <c r="J144" s="73">
        <f>(I144+I145+I146+I147+I148+I149)/6</f>
        <v>1</v>
      </c>
      <c r="K144" s="73">
        <f>(J144+J150)/2</f>
        <v>1</v>
      </c>
      <c r="L144" s="90" t="str">
        <f>IF(K144&lt;90%,"не выполнено",IF(K144&lt;100%,"в целом выполнено","выполнено"))</f>
        <v>выполнено</v>
      </c>
      <c r="M144" s="58" t="s">
        <v>237</v>
      </c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</row>
    <row r="145" spans="1:54" s="51" customFormat="1" ht="78.75" customHeight="1" x14ac:dyDescent="0.3">
      <c r="A145" s="81"/>
      <c r="B145" s="85"/>
      <c r="C145" s="72"/>
      <c r="D145" s="58" t="s">
        <v>43</v>
      </c>
      <c r="E145" s="59" t="s">
        <v>133</v>
      </c>
      <c r="F145" s="24" t="s">
        <v>40</v>
      </c>
      <c r="G145" s="62">
        <v>0</v>
      </c>
      <c r="H145" s="62">
        <v>0</v>
      </c>
      <c r="I145" s="60">
        <f>IF(H145=0,100%,IF(H145=1,98%,IF(H145=2,96%,IF(H145=3,94%,IF(H145=4,92%,IF(H145=5,90%,89.9%))))))</f>
        <v>1</v>
      </c>
      <c r="J145" s="74"/>
      <c r="K145" s="74"/>
      <c r="L145" s="90"/>
      <c r="M145" s="58" t="s">
        <v>50</v>
      </c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</row>
    <row r="146" spans="1:54" s="51" customFormat="1" ht="65.25" customHeight="1" x14ac:dyDescent="0.3">
      <c r="A146" s="81"/>
      <c r="B146" s="85"/>
      <c r="C146" s="72"/>
      <c r="D146" s="58" t="s">
        <v>44</v>
      </c>
      <c r="E146" s="59" t="s">
        <v>41</v>
      </c>
      <c r="F146" s="24" t="s">
        <v>39</v>
      </c>
      <c r="G146" s="61">
        <v>0.9</v>
      </c>
      <c r="H146" s="61">
        <f>27/28.5</f>
        <v>0.94736842105263153</v>
      </c>
      <c r="I146" s="61">
        <f>IF(H146&lt;90%,89.9%,100%)</f>
        <v>1</v>
      </c>
      <c r="J146" s="74"/>
      <c r="K146" s="74"/>
      <c r="L146" s="90"/>
      <c r="M146" s="58" t="s">
        <v>192</v>
      </c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</row>
    <row r="147" spans="1:54" s="51" customFormat="1" ht="90.75" customHeight="1" x14ac:dyDescent="0.3">
      <c r="A147" s="81"/>
      <c r="B147" s="85"/>
      <c r="C147" s="72"/>
      <c r="D147" s="58" t="s">
        <v>45</v>
      </c>
      <c r="E147" s="59" t="s">
        <v>134</v>
      </c>
      <c r="F147" s="24" t="s">
        <v>39</v>
      </c>
      <c r="G147" s="61">
        <v>0.9</v>
      </c>
      <c r="H147" s="61">
        <v>1</v>
      </c>
      <c r="I147" s="61">
        <f t="shared" ref="I147:I156" si="7">IF(H147/G147&gt;100%,100%,H147/G147)</f>
        <v>1</v>
      </c>
      <c r="J147" s="74"/>
      <c r="K147" s="74"/>
      <c r="L147" s="90"/>
      <c r="M147" s="58" t="s">
        <v>193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</row>
    <row r="148" spans="1:54" s="51" customFormat="1" ht="69.75" customHeight="1" x14ac:dyDescent="0.3">
      <c r="A148" s="81"/>
      <c r="B148" s="85"/>
      <c r="C148" s="72"/>
      <c r="D148" s="58" t="s">
        <v>46</v>
      </c>
      <c r="E148" s="59" t="s">
        <v>136</v>
      </c>
      <c r="F148" s="24" t="s">
        <v>39</v>
      </c>
      <c r="G148" s="61">
        <v>1</v>
      </c>
      <c r="H148" s="61">
        <v>1</v>
      </c>
      <c r="I148" s="61">
        <f t="shared" si="7"/>
        <v>1</v>
      </c>
      <c r="J148" s="74"/>
      <c r="K148" s="74"/>
      <c r="L148" s="90"/>
      <c r="M148" s="58" t="s">
        <v>191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</row>
    <row r="149" spans="1:54" s="51" customFormat="1" ht="55.5" customHeight="1" x14ac:dyDescent="0.3">
      <c r="A149" s="81"/>
      <c r="B149" s="85"/>
      <c r="C149" s="72"/>
      <c r="D149" s="58" t="s">
        <v>135</v>
      </c>
      <c r="E149" s="59" t="s">
        <v>47</v>
      </c>
      <c r="F149" s="24" t="s">
        <v>39</v>
      </c>
      <c r="G149" s="61">
        <v>0.8</v>
      </c>
      <c r="H149" s="61">
        <v>0.86</v>
      </c>
      <c r="I149" s="61">
        <f t="shared" si="7"/>
        <v>1</v>
      </c>
      <c r="J149" s="86"/>
      <c r="K149" s="74"/>
      <c r="L149" s="90"/>
      <c r="M149" s="58" t="s">
        <v>164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</row>
    <row r="150" spans="1:54" s="51" customFormat="1" ht="66.75" customHeight="1" x14ac:dyDescent="0.3">
      <c r="A150" s="81"/>
      <c r="B150" s="85"/>
      <c r="C150" s="72"/>
      <c r="D150" s="58" t="s">
        <v>37</v>
      </c>
      <c r="E150" s="59" t="s">
        <v>137</v>
      </c>
      <c r="F150" s="24" t="s">
        <v>48</v>
      </c>
      <c r="G150" s="63">
        <v>1627</v>
      </c>
      <c r="H150" s="63">
        <v>1651</v>
      </c>
      <c r="I150" s="61">
        <f t="shared" si="7"/>
        <v>1</v>
      </c>
      <c r="J150" s="61">
        <f>I150</f>
        <v>1</v>
      </c>
      <c r="K150" s="86"/>
      <c r="L150" s="90"/>
      <c r="M150" s="58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</row>
    <row r="151" spans="1:54" s="51" customFormat="1" ht="106.5" customHeight="1" x14ac:dyDescent="0.3">
      <c r="A151" s="82"/>
      <c r="B151" s="72" t="s">
        <v>118</v>
      </c>
      <c r="C151" s="72" t="s">
        <v>115</v>
      </c>
      <c r="D151" s="58" t="s">
        <v>42</v>
      </c>
      <c r="E151" s="59" t="s">
        <v>132</v>
      </c>
      <c r="F151" s="24" t="s">
        <v>39</v>
      </c>
      <c r="G151" s="60">
        <v>1</v>
      </c>
      <c r="H151" s="60">
        <f>H155/H155</f>
        <v>1</v>
      </c>
      <c r="I151" s="61">
        <f t="shared" si="7"/>
        <v>1</v>
      </c>
      <c r="J151" s="73">
        <f>(I151+I152+I153+I154)/4</f>
        <v>1</v>
      </c>
      <c r="K151" s="73">
        <f>(J151+J155)/2</f>
        <v>1</v>
      </c>
      <c r="L151" s="77" t="str">
        <f>IF(K151&lt;90%,"не выполнено",IF(K151&lt;100%,"в целом выполнено","выполнено"))</f>
        <v>выполнено</v>
      </c>
      <c r="M151" s="58" t="s">
        <v>238</v>
      </c>
      <c r="N151" s="55"/>
      <c r="O151" s="64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</row>
    <row r="152" spans="1:54" s="51" customFormat="1" ht="66.75" customHeight="1" x14ac:dyDescent="0.3">
      <c r="A152" s="82"/>
      <c r="B152" s="72"/>
      <c r="C152" s="72"/>
      <c r="D152" s="58" t="s">
        <v>43</v>
      </c>
      <c r="E152" s="59" t="s">
        <v>41</v>
      </c>
      <c r="F152" s="24" t="s">
        <v>39</v>
      </c>
      <c r="G152" s="61">
        <v>0.9</v>
      </c>
      <c r="H152" s="61">
        <f>78/80</f>
        <v>0.97499999999999998</v>
      </c>
      <c r="I152" s="61">
        <f>IF(H152&lt;90%,89.9%,100%)</f>
        <v>1</v>
      </c>
      <c r="J152" s="74"/>
      <c r="K152" s="75"/>
      <c r="L152" s="78"/>
      <c r="M152" s="58" t="s">
        <v>239</v>
      </c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</row>
    <row r="153" spans="1:54" s="51" customFormat="1" ht="90" customHeight="1" x14ac:dyDescent="0.3">
      <c r="A153" s="82"/>
      <c r="B153" s="72"/>
      <c r="C153" s="72"/>
      <c r="D153" s="58" t="s">
        <v>44</v>
      </c>
      <c r="E153" s="59" t="s">
        <v>134</v>
      </c>
      <c r="F153" s="24" t="s">
        <v>39</v>
      </c>
      <c r="G153" s="61">
        <v>0.9</v>
      </c>
      <c r="H153" s="61">
        <v>1</v>
      </c>
      <c r="I153" s="61">
        <f>IF(H153/G153&gt;100%,100%,H153/G153)</f>
        <v>1</v>
      </c>
      <c r="J153" s="74"/>
      <c r="K153" s="75"/>
      <c r="L153" s="78"/>
      <c r="M153" s="58" t="s">
        <v>194</v>
      </c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</row>
    <row r="154" spans="1:54" s="51" customFormat="1" ht="66.75" customHeight="1" x14ac:dyDescent="0.3">
      <c r="A154" s="82"/>
      <c r="B154" s="72"/>
      <c r="C154" s="72"/>
      <c r="D154" s="58" t="s">
        <v>45</v>
      </c>
      <c r="E154" s="59" t="s">
        <v>136</v>
      </c>
      <c r="F154" s="24" t="s">
        <v>39</v>
      </c>
      <c r="G154" s="61">
        <v>1</v>
      </c>
      <c r="H154" s="61">
        <v>1</v>
      </c>
      <c r="I154" s="61">
        <f t="shared" si="7"/>
        <v>1</v>
      </c>
      <c r="J154" s="74"/>
      <c r="K154" s="75"/>
      <c r="L154" s="78"/>
      <c r="M154" s="58" t="s">
        <v>191</v>
      </c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</row>
    <row r="155" spans="1:54" s="51" customFormat="1" ht="66" customHeight="1" x14ac:dyDescent="0.3">
      <c r="A155" s="83"/>
      <c r="B155" s="72"/>
      <c r="C155" s="72"/>
      <c r="D155" s="58" t="s">
        <v>37</v>
      </c>
      <c r="E155" s="59" t="s">
        <v>137</v>
      </c>
      <c r="F155" s="24" t="s">
        <v>48</v>
      </c>
      <c r="G155" s="63">
        <f>695+263</f>
        <v>958</v>
      </c>
      <c r="H155" s="63">
        <v>1211</v>
      </c>
      <c r="I155" s="61">
        <f t="shared" si="7"/>
        <v>1</v>
      </c>
      <c r="J155" s="61">
        <f>I155</f>
        <v>1</v>
      </c>
      <c r="K155" s="76"/>
      <c r="L155" s="79"/>
      <c r="M155" s="58" t="s">
        <v>49</v>
      </c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</row>
    <row r="156" spans="1:54" s="51" customFormat="1" ht="106.5" customHeight="1" x14ac:dyDescent="0.3">
      <c r="A156" s="80" t="s">
        <v>22</v>
      </c>
      <c r="B156" s="84" t="s">
        <v>117</v>
      </c>
      <c r="C156" s="72" t="s">
        <v>115</v>
      </c>
      <c r="D156" s="58" t="s">
        <v>42</v>
      </c>
      <c r="E156" s="59" t="s">
        <v>132</v>
      </c>
      <c r="F156" s="24" t="s">
        <v>39</v>
      </c>
      <c r="G156" s="60">
        <v>1</v>
      </c>
      <c r="H156" s="60">
        <f>H162/(H162)</f>
        <v>1</v>
      </c>
      <c r="I156" s="61">
        <f t="shared" si="7"/>
        <v>1</v>
      </c>
      <c r="J156" s="73">
        <f>(I156+I157+I158+I159+I160+I161)/6</f>
        <v>1</v>
      </c>
      <c r="K156" s="73">
        <f>(J156+J162)/2</f>
        <v>1</v>
      </c>
      <c r="L156" s="90" t="str">
        <f>IF(K156&lt;90%,"не выполнено",IF(K156&lt;100%,"в целом выполнено","выполнено"))</f>
        <v>выполнено</v>
      </c>
      <c r="M156" s="58" t="s">
        <v>240</v>
      </c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</row>
    <row r="157" spans="1:54" s="51" customFormat="1" ht="78.75" customHeight="1" x14ac:dyDescent="0.3">
      <c r="A157" s="81"/>
      <c r="B157" s="85"/>
      <c r="C157" s="72"/>
      <c r="D157" s="58" t="s">
        <v>43</v>
      </c>
      <c r="E157" s="59" t="s">
        <v>133</v>
      </c>
      <c r="F157" s="24" t="s">
        <v>40</v>
      </c>
      <c r="G157" s="62">
        <v>0</v>
      </c>
      <c r="H157" s="62">
        <v>0</v>
      </c>
      <c r="I157" s="60">
        <f>IF(H157=0,100%,IF(H157=1,98%,IF(H157=2,96%,IF(H157=3,94%,IF(H157=4,92%,IF(H157=5,90%,89.9%))))))</f>
        <v>1</v>
      </c>
      <c r="J157" s="74"/>
      <c r="K157" s="74"/>
      <c r="L157" s="90"/>
      <c r="M157" s="58" t="s">
        <v>50</v>
      </c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</row>
    <row r="158" spans="1:54" s="51" customFormat="1" ht="65.25" customHeight="1" x14ac:dyDescent="0.3">
      <c r="A158" s="81"/>
      <c r="B158" s="85"/>
      <c r="C158" s="72"/>
      <c r="D158" s="58" t="s">
        <v>44</v>
      </c>
      <c r="E158" s="59" t="s">
        <v>41</v>
      </c>
      <c r="F158" s="24" t="s">
        <v>39</v>
      </c>
      <c r="G158" s="61">
        <v>0.9</v>
      </c>
      <c r="H158" s="61">
        <f>36.5/38.5</f>
        <v>0.94805194805194803</v>
      </c>
      <c r="I158" s="61">
        <f>IF(H158&lt;90%,89.9%,100%)</f>
        <v>1</v>
      </c>
      <c r="J158" s="74"/>
      <c r="K158" s="74"/>
      <c r="L158" s="90"/>
      <c r="M158" s="58" t="s">
        <v>242</v>
      </c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</row>
    <row r="159" spans="1:54" s="51" customFormat="1" ht="90.75" customHeight="1" x14ac:dyDescent="0.3">
      <c r="A159" s="81"/>
      <c r="B159" s="85"/>
      <c r="C159" s="72"/>
      <c r="D159" s="58" t="s">
        <v>45</v>
      </c>
      <c r="E159" s="59" t="s">
        <v>134</v>
      </c>
      <c r="F159" s="24" t="s">
        <v>39</v>
      </c>
      <c r="G159" s="61">
        <v>0.9</v>
      </c>
      <c r="H159" s="61">
        <v>1</v>
      </c>
      <c r="I159" s="61">
        <f t="shared" ref="I159:I167" si="8">IF(H159/G159&gt;100%,100%,H159/G159)</f>
        <v>1</v>
      </c>
      <c r="J159" s="74"/>
      <c r="K159" s="74"/>
      <c r="L159" s="90"/>
      <c r="M159" s="58" t="s">
        <v>195</v>
      </c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</row>
    <row r="160" spans="1:54" s="51" customFormat="1" ht="69.75" customHeight="1" x14ac:dyDescent="0.3">
      <c r="A160" s="81"/>
      <c r="B160" s="85"/>
      <c r="C160" s="72"/>
      <c r="D160" s="58" t="s">
        <v>46</v>
      </c>
      <c r="E160" s="59" t="s">
        <v>136</v>
      </c>
      <c r="F160" s="24" t="s">
        <v>39</v>
      </c>
      <c r="G160" s="61">
        <v>1</v>
      </c>
      <c r="H160" s="61">
        <v>1</v>
      </c>
      <c r="I160" s="61">
        <f t="shared" si="8"/>
        <v>1</v>
      </c>
      <c r="J160" s="74"/>
      <c r="K160" s="74"/>
      <c r="L160" s="90"/>
      <c r="M160" s="58" t="s">
        <v>196</v>
      </c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</row>
    <row r="161" spans="1:54" s="51" customFormat="1" ht="55.5" customHeight="1" x14ac:dyDescent="0.3">
      <c r="A161" s="81"/>
      <c r="B161" s="85"/>
      <c r="C161" s="72"/>
      <c r="D161" s="58" t="s">
        <v>135</v>
      </c>
      <c r="E161" s="59" t="s">
        <v>47</v>
      </c>
      <c r="F161" s="24" t="s">
        <v>39</v>
      </c>
      <c r="G161" s="61">
        <v>0.94</v>
      </c>
      <c r="H161" s="61">
        <f>9.4/10</f>
        <v>0.94000000000000006</v>
      </c>
      <c r="I161" s="61">
        <f t="shared" si="8"/>
        <v>1.0000000000000002</v>
      </c>
      <c r="J161" s="86"/>
      <c r="K161" s="74"/>
      <c r="L161" s="90"/>
      <c r="M161" s="58" t="s">
        <v>148</v>
      </c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</row>
    <row r="162" spans="1:54" s="51" customFormat="1" ht="66.75" customHeight="1" x14ac:dyDescent="0.3">
      <c r="A162" s="81"/>
      <c r="B162" s="85"/>
      <c r="C162" s="72"/>
      <c r="D162" s="58" t="s">
        <v>37</v>
      </c>
      <c r="E162" s="59" t="s">
        <v>137</v>
      </c>
      <c r="F162" s="24" t="s">
        <v>48</v>
      </c>
      <c r="G162" s="63">
        <v>2212</v>
      </c>
      <c r="H162" s="63">
        <v>2260</v>
      </c>
      <c r="I162" s="61">
        <f t="shared" si="8"/>
        <v>1</v>
      </c>
      <c r="J162" s="61">
        <f>I162</f>
        <v>1</v>
      </c>
      <c r="K162" s="86"/>
      <c r="L162" s="90"/>
      <c r="M162" s="58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</row>
    <row r="163" spans="1:54" s="51" customFormat="1" ht="106.5" customHeight="1" x14ac:dyDescent="0.3">
      <c r="A163" s="82"/>
      <c r="B163" s="72" t="s">
        <v>118</v>
      </c>
      <c r="C163" s="72" t="s">
        <v>115</v>
      </c>
      <c r="D163" s="58" t="s">
        <v>42</v>
      </c>
      <c r="E163" s="59" t="s">
        <v>132</v>
      </c>
      <c r="F163" s="24" t="s">
        <v>39</v>
      </c>
      <c r="G163" s="60">
        <v>1</v>
      </c>
      <c r="H163" s="60">
        <f>H167/H167</f>
        <v>1</v>
      </c>
      <c r="I163" s="61">
        <f t="shared" si="8"/>
        <v>1</v>
      </c>
      <c r="J163" s="73">
        <f>(I163+I164+I165+I166)/4</f>
        <v>1</v>
      </c>
      <c r="K163" s="73">
        <f>(J163+J167)/2</f>
        <v>1</v>
      </c>
      <c r="L163" s="77" t="str">
        <f>IF(K163&lt;90%,"не выполнено",IF(K163&lt;100%,"в целом выполнено","выполнено"))</f>
        <v>выполнено</v>
      </c>
      <c r="M163" s="58" t="s">
        <v>241</v>
      </c>
      <c r="N163" s="55"/>
      <c r="O163" s="64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</row>
    <row r="164" spans="1:54" s="51" customFormat="1" ht="66.75" customHeight="1" x14ac:dyDescent="0.3">
      <c r="A164" s="82"/>
      <c r="B164" s="72"/>
      <c r="C164" s="72"/>
      <c r="D164" s="58" t="s">
        <v>43</v>
      </c>
      <c r="E164" s="59" t="s">
        <v>41</v>
      </c>
      <c r="F164" s="24" t="s">
        <v>39</v>
      </c>
      <c r="G164" s="61">
        <v>0.9</v>
      </c>
      <c r="H164" s="61">
        <f>71/71</f>
        <v>1</v>
      </c>
      <c r="I164" s="61">
        <f>IF(H164&lt;90%,89.9%,100%)</f>
        <v>1</v>
      </c>
      <c r="J164" s="74"/>
      <c r="K164" s="75"/>
      <c r="L164" s="78"/>
      <c r="M164" s="58" t="s">
        <v>141</v>
      </c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</row>
    <row r="165" spans="1:54" s="51" customFormat="1" ht="90" customHeight="1" x14ac:dyDescent="0.3">
      <c r="A165" s="82"/>
      <c r="B165" s="72"/>
      <c r="C165" s="72"/>
      <c r="D165" s="58" t="s">
        <v>44</v>
      </c>
      <c r="E165" s="59" t="s">
        <v>134</v>
      </c>
      <c r="F165" s="24" t="s">
        <v>39</v>
      </c>
      <c r="G165" s="61">
        <v>0.9</v>
      </c>
      <c r="H165" s="61">
        <v>0.9</v>
      </c>
      <c r="I165" s="61">
        <f>IF(H165/G165&gt;100%,100%,H165/G165)</f>
        <v>1</v>
      </c>
      <c r="J165" s="74"/>
      <c r="K165" s="75"/>
      <c r="L165" s="78"/>
      <c r="M165" s="58" t="s">
        <v>197</v>
      </c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</row>
    <row r="166" spans="1:54" s="51" customFormat="1" ht="66.75" customHeight="1" x14ac:dyDescent="0.3">
      <c r="A166" s="82"/>
      <c r="B166" s="72"/>
      <c r="C166" s="72"/>
      <c r="D166" s="58" t="s">
        <v>45</v>
      </c>
      <c r="E166" s="59" t="s">
        <v>136</v>
      </c>
      <c r="F166" s="24" t="s">
        <v>39</v>
      </c>
      <c r="G166" s="61">
        <v>1</v>
      </c>
      <c r="H166" s="61">
        <v>1</v>
      </c>
      <c r="I166" s="61">
        <f t="shared" si="8"/>
        <v>1</v>
      </c>
      <c r="J166" s="74"/>
      <c r="K166" s="75"/>
      <c r="L166" s="78"/>
      <c r="M166" s="58" t="s">
        <v>198</v>
      </c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</row>
    <row r="167" spans="1:54" s="51" customFormat="1" ht="66" customHeight="1" x14ac:dyDescent="0.3">
      <c r="A167" s="83"/>
      <c r="B167" s="72"/>
      <c r="C167" s="72"/>
      <c r="D167" s="58" t="s">
        <v>37</v>
      </c>
      <c r="E167" s="59" t="s">
        <v>137</v>
      </c>
      <c r="F167" s="24" t="s">
        <v>48</v>
      </c>
      <c r="G167" s="63">
        <f>455+293</f>
        <v>748</v>
      </c>
      <c r="H167" s="63">
        <v>899</v>
      </c>
      <c r="I167" s="61">
        <f t="shared" si="8"/>
        <v>1</v>
      </c>
      <c r="J167" s="61">
        <f>I167</f>
        <v>1</v>
      </c>
      <c r="K167" s="76"/>
      <c r="L167" s="79"/>
      <c r="M167" s="58" t="s">
        <v>49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</row>
    <row r="168" spans="1:54" s="17" customFormat="1" ht="10.199999999999999" x14ac:dyDescent="0.3">
      <c r="A168" s="49"/>
      <c r="B168" s="49"/>
      <c r="C168" s="49"/>
      <c r="D168" s="49"/>
      <c r="E168" s="49"/>
      <c r="F168" s="65"/>
      <c r="G168" s="49"/>
      <c r="H168" s="49"/>
      <c r="I168" s="66"/>
      <c r="J168" s="66"/>
      <c r="K168" s="67"/>
      <c r="L168" s="49"/>
      <c r="M168" s="49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</row>
    <row r="169" spans="1:54" s="16" customFormat="1" ht="15.6" x14ac:dyDescent="0.3">
      <c r="A169" s="35" t="s">
        <v>128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</row>
    <row r="170" spans="1:54" s="16" customFormat="1" ht="15.6" x14ac:dyDescent="0.3">
      <c r="A170" s="35" t="s">
        <v>131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</row>
    <row r="171" spans="1:54" s="18" customFormat="1" ht="12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</row>
    <row r="172" spans="1:54" s="18" customFormat="1" ht="12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</row>
    <row r="173" spans="1:54" s="18" customFormat="1" ht="12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</row>
    <row r="174" spans="1:54" s="22" customFormat="1" ht="18" x14ac:dyDescent="0.3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68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</row>
    <row r="175" spans="1:54" s="16" customFormat="1" ht="13.2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</row>
    <row r="176" spans="1:54" s="16" customFormat="1" ht="13.2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</row>
    <row r="177" spans="1:54" s="16" customFormat="1" ht="13.2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</row>
    <row r="178" spans="1:54" s="16" customFormat="1" ht="13.2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</row>
    <row r="179" spans="1:54" s="18" customFormat="1" ht="12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</row>
    <row r="180" spans="1:54" s="18" customFormat="1" ht="12" x14ac:dyDescent="0.3">
      <c r="A180" s="40"/>
      <c r="B180" s="40"/>
      <c r="C180" s="40"/>
      <c r="D180" s="40"/>
      <c r="E180" s="40"/>
      <c r="F180" s="40"/>
      <c r="G180" s="69" t="s">
        <v>149</v>
      </c>
      <c r="H180" s="69" t="s">
        <v>150</v>
      </c>
      <c r="I180" s="70" t="s">
        <v>125</v>
      </c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</row>
    <row r="181" spans="1:54" s="16" customFormat="1" ht="13.2" x14ac:dyDescent="0.3">
      <c r="A181" s="35"/>
      <c r="B181" s="35"/>
      <c r="C181" s="35"/>
      <c r="D181" s="35"/>
      <c r="E181" s="35" t="s">
        <v>54</v>
      </c>
      <c r="F181" s="35"/>
      <c r="G181" s="71">
        <f>G12+G19+G26+G33+G40+G47+G66+G59+G71+G78+G83+G90+G95+G102+G107+G114+G119+G126+G131+G138+G143+G150+G155+G162+G167+G52</f>
        <v>30400</v>
      </c>
      <c r="H181" s="71">
        <f>H12+H19+H26+H33+H40+H47+H66+H59+H71+H78+H83+H90+H95+H102+H107+H114+H119+H126+H131+H138+H143+H150+H155+H162+H167+H52</f>
        <v>32813</v>
      </c>
      <c r="I181" s="71">
        <f>SUM(I183:I185)</f>
        <v>30400</v>
      </c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</row>
    <row r="182" spans="1:54" s="16" customFormat="1" ht="13.2" x14ac:dyDescent="0.3">
      <c r="A182" s="35"/>
      <c r="B182" s="35"/>
      <c r="C182" s="35"/>
      <c r="D182" s="35"/>
      <c r="E182" s="35" t="s">
        <v>55</v>
      </c>
      <c r="F182" s="35"/>
      <c r="G182" s="71"/>
      <c r="H182" s="71"/>
      <c r="I182" s="71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</row>
    <row r="183" spans="1:54" s="16" customFormat="1" ht="13.2" x14ac:dyDescent="0.3">
      <c r="A183" s="35"/>
      <c r="B183" s="35"/>
      <c r="C183" s="35"/>
      <c r="D183" s="35"/>
      <c r="E183" s="35" t="s">
        <v>56</v>
      </c>
      <c r="F183" s="35"/>
      <c r="G183" s="71">
        <f>G12+G26</f>
        <v>680</v>
      </c>
      <c r="H183" s="71">
        <f>H12+H26</f>
        <v>715</v>
      </c>
      <c r="I183" s="71">
        <v>680</v>
      </c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</row>
    <row r="184" spans="1:54" s="16" customFormat="1" ht="13.2" x14ac:dyDescent="0.3">
      <c r="A184" s="35"/>
      <c r="B184" s="35"/>
      <c r="C184" s="35"/>
      <c r="D184" s="35"/>
      <c r="E184" s="35" t="s">
        <v>57</v>
      </c>
      <c r="F184" s="35"/>
      <c r="G184" s="71">
        <f>G19+G33+G40+G47+G59+G66+G78+G90+G102+G114+G126+G138+G150+G162</f>
        <v>23385</v>
      </c>
      <c r="H184" s="71">
        <f>H19+H33+H40+H47+H59+H66+H78+H90+H102+H114+H126+H138+H150+H162</f>
        <v>24607</v>
      </c>
      <c r="I184" s="71">
        <v>23400</v>
      </c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</row>
    <row r="185" spans="1:54" s="16" customFormat="1" ht="13.2" x14ac:dyDescent="0.3">
      <c r="A185" s="35"/>
      <c r="B185" s="35"/>
      <c r="C185" s="35"/>
      <c r="D185" s="35"/>
      <c r="E185" s="35" t="s">
        <v>58</v>
      </c>
      <c r="F185" s="35"/>
      <c r="G185" s="71">
        <f>G71+G83+G95+G107+G119+G131+G143+G155+G167+G52</f>
        <v>6335</v>
      </c>
      <c r="H185" s="71">
        <f>H71+H83+H95+H107+H119+H131+H143+H155+H167+H52</f>
        <v>7491</v>
      </c>
      <c r="I185" s="71">
        <v>6320</v>
      </c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</row>
    <row r="186" spans="1:54" s="16" customFormat="1" ht="13.2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</row>
    <row r="187" spans="1:54" s="16" customFormat="1" ht="13.2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</row>
    <row r="188" spans="1:54" s="16" customFormat="1" ht="13.2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</row>
    <row r="189" spans="1:54" s="16" customFormat="1" ht="13.2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</row>
  </sheetData>
  <mergeCells count="145">
    <mergeCell ref="K13:K19"/>
    <mergeCell ref="K6:K12"/>
    <mergeCell ref="C13:C19"/>
    <mergeCell ref="C34:C40"/>
    <mergeCell ref="J34:J39"/>
    <mergeCell ref="K34:K40"/>
    <mergeCell ref="L34:L40"/>
    <mergeCell ref="L6:L12"/>
    <mergeCell ref="C27:C33"/>
    <mergeCell ref="K41:K47"/>
    <mergeCell ref="L41:L47"/>
    <mergeCell ref="J41:J46"/>
    <mergeCell ref="L60:L66"/>
    <mergeCell ref="L20:L26"/>
    <mergeCell ref="A6:A19"/>
    <mergeCell ref="J13:J18"/>
    <mergeCell ref="B20:B26"/>
    <mergeCell ref="C20:C26"/>
    <mergeCell ref="J20:J25"/>
    <mergeCell ref="B6:B12"/>
    <mergeCell ref="B13:B19"/>
    <mergeCell ref="C6:C12"/>
    <mergeCell ref="J6:J11"/>
    <mergeCell ref="J27:J32"/>
    <mergeCell ref="K27:K33"/>
    <mergeCell ref="A34:A40"/>
    <mergeCell ref="A20:A33"/>
    <mergeCell ref="B41:B47"/>
    <mergeCell ref="B27:B33"/>
    <mergeCell ref="B34:B40"/>
    <mergeCell ref="C41:C47"/>
    <mergeCell ref="A41:A52"/>
    <mergeCell ref="L27:L33"/>
    <mergeCell ref="L84:L90"/>
    <mergeCell ref="B91:B95"/>
    <mergeCell ref="C91:C95"/>
    <mergeCell ref="J91:J94"/>
    <mergeCell ref="K91:K95"/>
    <mergeCell ref="L91:L95"/>
    <mergeCell ref="L79:L83"/>
    <mergeCell ref="A72:A83"/>
    <mergeCell ref="B72:B78"/>
    <mergeCell ref="C72:C78"/>
    <mergeCell ref="J72:J77"/>
    <mergeCell ref="K72:K78"/>
    <mergeCell ref="L72:L78"/>
    <mergeCell ref="A84:A95"/>
    <mergeCell ref="B84:B90"/>
    <mergeCell ref="C84:C90"/>
    <mergeCell ref="J84:J89"/>
    <mergeCell ref="K84:K90"/>
    <mergeCell ref="B79:B83"/>
    <mergeCell ref="C79:C83"/>
    <mergeCell ref="J79:J82"/>
    <mergeCell ref="K79:K83"/>
    <mergeCell ref="L103:L107"/>
    <mergeCell ref="A108:A119"/>
    <mergeCell ref="B108:B114"/>
    <mergeCell ref="C108:C114"/>
    <mergeCell ref="J108:J113"/>
    <mergeCell ref="K108:K114"/>
    <mergeCell ref="L108:L114"/>
    <mergeCell ref="B115:B119"/>
    <mergeCell ref="C115:C119"/>
    <mergeCell ref="J115:J118"/>
    <mergeCell ref="A96:A107"/>
    <mergeCell ref="B96:B102"/>
    <mergeCell ref="C96:C102"/>
    <mergeCell ref="J96:J101"/>
    <mergeCell ref="K96:K102"/>
    <mergeCell ref="L96:L102"/>
    <mergeCell ref="B103:B107"/>
    <mergeCell ref="C103:C107"/>
    <mergeCell ref="J103:J106"/>
    <mergeCell ref="K103:K107"/>
    <mergeCell ref="K115:K119"/>
    <mergeCell ref="L115:L119"/>
    <mergeCell ref="A120:A131"/>
    <mergeCell ref="B120:B126"/>
    <mergeCell ref="C120:C126"/>
    <mergeCell ref="J120:J125"/>
    <mergeCell ref="K120:K126"/>
    <mergeCell ref="L120:L126"/>
    <mergeCell ref="B127:B131"/>
    <mergeCell ref="C127:C131"/>
    <mergeCell ref="L139:L143"/>
    <mergeCell ref="A144:A155"/>
    <mergeCell ref="B144:B150"/>
    <mergeCell ref="C144:C150"/>
    <mergeCell ref="J144:J149"/>
    <mergeCell ref="K144:K150"/>
    <mergeCell ref="L144:L150"/>
    <mergeCell ref="J127:J130"/>
    <mergeCell ref="K127:K131"/>
    <mergeCell ref="L127:L131"/>
    <mergeCell ref="A132:A143"/>
    <mergeCell ref="B132:B138"/>
    <mergeCell ref="C132:C138"/>
    <mergeCell ref="J132:J137"/>
    <mergeCell ref="K132:K138"/>
    <mergeCell ref="L132:L138"/>
    <mergeCell ref="B139:B143"/>
    <mergeCell ref="A2:M2"/>
    <mergeCell ref="A53:A59"/>
    <mergeCell ref="L13:L19"/>
    <mergeCell ref="K20:K26"/>
    <mergeCell ref="B53:B59"/>
    <mergeCell ref="L156:L162"/>
    <mergeCell ref="B163:B167"/>
    <mergeCell ref="C163:C167"/>
    <mergeCell ref="J163:J166"/>
    <mergeCell ref="K163:K167"/>
    <mergeCell ref="L163:L167"/>
    <mergeCell ref="B151:B155"/>
    <mergeCell ref="C151:C155"/>
    <mergeCell ref="J151:J154"/>
    <mergeCell ref="K151:K155"/>
    <mergeCell ref="L151:L155"/>
    <mergeCell ref="A156:A167"/>
    <mergeCell ref="B156:B162"/>
    <mergeCell ref="C156:C162"/>
    <mergeCell ref="J156:J161"/>
    <mergeCell ref="K156:K162"/>
    <mergeCell ref="C139:C143"/>
    <mergeCell ref="J139:J142"/>
    <mergeCell ref="K139:K143"/>
    <mergeCell ref="B48:B52"/>
    <mergeCell ref="C48:C52"/>
    <mergeCell ref="J48:J51"/>
    <mergeCell ref="K48:K52"/>
    <mergeCell ref="L48:L52"/>
    <mergeCell ref="A60:A71"/>
    <mergeCell ref="B67:B71"/>
    <mergeCell ref="C67:C71"/>
    <mergeCell ref="J67:J70"/>
    <mergeCell ref="K67:K71"/>
    <mergeCell ref="L67:L71"/>
    <mergeCell ref="B60:B66"/>
    <mergeCell ref="C60:C66"/>
    <mergeCell ref="J60:J65"/>
    <mergeCell ref="K60:K66"/>
    <mergeCell ref="C53:C59"/>
    <mergeCell ref="J53:J58"/>
    <mergeCell ref="K53:K59"/>
    <mergeCell ref="L53:L59"/>
  </mergeCells>
  <pageMargins left="0.19685039370078741" right="0.19685039370078741" top="0.39370078740157483" bottom="0.19685039370078741" header="0.19685039370078741" footer="0.19685039370078741"/>
  <pageSetup paperSize="9" scale="70" fitToHeight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73" sqref="H73"/>
    </sheetView>
  </sheetViews>
  <sheetFormatPr defaultColWidth="9.109375" defaultRowHeight="14.4" x14ac:dyDescent="0.3"/>
  <cols>
    <col min="1" max="1" width="4" style="46" customWidth="1"/>
    <col min="2" max="2" width="41.5546875" style="46" customWidth="1"/>
    <col min="3" max="3" width="7.88671875" style="46" customWidth="1"/>
    <col min="4" max="4" width="8.88671875" style="46" customWidth="1"/>
    <col min="5" max="5" width="16.33203125" style="46" customWidth="1"/>
    <col min="6" max="6" width="7.5546875" style="46" customWidth="1"/>
    <col min="7" max="7" width="8.44140625" style="46" customWidth="1"/>
    <col min="8" max="8" width="16.33203125" style="46" customWidth="1"/>
    <col min="9" max="9" width="7.88671875" style="46" customWidth="1"/>
    <col min="10" max="10" width="8.88671875" style="46" customWidth="1"/>
    <col min="11" max="11" width="16.33203125" style="46" customWidth="1"/>
    <col min="12" max="16384" width="9.109375" style="46"/>
  </cols>
  <sheetData>
    <row r="1" spans="1:11" s="37" customFormat="1" ht="33" customHeight="1" x14ac:dyDescent="0.3">
      <c r="A1" s="94" t="s">
        <v>252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41" customFormat="1" ht="18.75" customHeight="1" x14ac:dyDescent="0.3">
      <c r="A2" s="95" t="s">
        <v>0</v>
      </c>
      <c r="B2" s="95" t="s">
        <v>59</v>
      </c>
      <c r="C2" s="97" t="s">
        <v>13</v>
      </c>
      <c r="D2" s="98"/>
      <c r="E2" s="99"/>
      <c r="F2" s="97" t="s">
        <v>14</v>
      </c>
      <c r="G2" s="98"/>
      <c r="H2" s="99"/>
      <c r="I2" s="97" t="s">
        <v>60</v>
      </c>
      <c r="J2" s="98"/>
      <c r="K2" s="99"/>
    </row>
    <row r="3" spans="1:11" s="35" customFormat="1" ht="26.25" customHeight="1" x14ac:dyDescent="0.3">
      <c r="A3" s="96"/>
      <c r="B3" s="96"/>
      <c r="C3" s="23" t="s">
        <v>10</v>
      </c>
      <c r="D3" s="24" t="s">
        <v>8</v>
      </c>
      <c r="E3" s="24" t="s">
        <v>9</v>
      </c>
      <c r="F3" s="23" t="s">
        <v>10</v>
      </c>
      <c r="G3" s="24" t="s">
        <v>8</v>
      </c>
      <c r="H3" s="24" t="s">
        <v>9</v>
      </c>
      <c r="I3" s="23" t="s">
        <v>10</v>
      </c>
      <c r="J3" s="24" t="s">
        <v>8</v>
      </c>
      <c r="K3" s="24" t="s">
        <v>9</v>
      </c>
    </row>
    <row r="4" spans="1:11" s="42" customFormat="1" ht="15.6" x14ac:dyDescent="0.3">
      <c r="A4" s="25">
        <v>1</v>
      </c>
      <c r="B4" s="26" t="s">
        <v>17</v>
      </c>
      <c r="C4" s="27">
        <f>MIN(C6:C7)</f>
        <v>0.96666666666666667</v>
      </c>
      <c r="D4" s="28" t="str">
        <f>IF(C4&lt;90%,"&lt;90%",IF(C4&lt;100%,"90%-100%","100% и&gt;"))</f>
        <v>90%-100%</v>
      </c>
      <c r="E4" s="28" t="str">
        <f>IF(D4="&lt;90%","не выполнено",IF(D4="90%-100%","в целом выполнено","выполнено"))</f>
        <v>в целом выполнено</v>
      </c>
      <c r="F4" s="27">
        <f>MIN(F6:F7)</f>
        <v>1</v>
      </c>
      <c r="G4" s="28" t="str">
        <f>IF(F4&lt;90%,"&lt;90%",IF(F4&lt;100%,"90%-100%","100% и&gt;"))</f>
        <v>100% и&gt;</v>
      </c>
      <c r="H4" s="28" t="str">
        <f>IF(G4="&lt;90%","не выполнено",IF(G4="90%-100%","в целом выполнено","выполнено"))</f>
        <v>выполнено</v>
      </c>
      <c r="I4" s="27">
        <f>MIN(I6:I7)</f>
        <v>0.98333333333333339</v>
      </c>
      <c r="J4" s="28" t="str">
        <f>IF(I4&lt;90%,"&lt;90%",IF(I4&lt;100%,"90%-100%","100% и&gt;"))</f>
        <v>90%-100%</v>
      </c>
      <c r="K4" s="28" t="str">
        <f>IF(J4="&lt;90%","не выполнено",IF(J4="90%-100%","в целом выполнено","выполнено"))</f>
        <v>в целом выполнено</v>
      </c>
    </row>
    <row r="5" spans="1:11" s="43" customFormat="1" ht="11.25" customHeight="1" x14ac:dyDescent="0.3">
      <c r="A5" s="29"/>
      <c r="B5" s="47" t="s">
        <v>61</v>
      </c>
      <c r="C5" s="30"/>
      <c r="D5" s="31"/>
      <c r="E5" s="31"/>
      <c r="F5" s="30"/>
      <c r="G5" s="31"/>
      <c r="H5" s="31"/>
      <c r="I5" s="30"/>
      <c r="J5" s="31"/>
      <c r="K5" s="31"/>
    </row>
    <row r="6" spans="1:11" s="44" customFormat="1" ht="13.2" x14ac:dyDescent="0.3">
      <c r="A6" s="32" t="s">
        <v>62</v>
      </c>
      <c r="B6" s="34" t="s">
        <v>112</v>
      </c>
      <c r="C6" s="33">
        <f>'ожидаемое 2019'!J6</f>
        <v>0.96666666666666667</v>
      </c>
      <c r="D6" s="28" t="str">
        <f>IF(C6&lt;90%,"&lt;90%",IF(C6&lt;100%,"90%-100%","100% и&gt;"))</f>
        <v>90%-100%</v>
      </c>
      <c r="E6" s="28" t="str">
        <f>IF(D6="&lt;90%","не выполнено",IF(D6="90%-100%","в целом выполнено","выполнено"))</f>
        <v>в целом выполнено</v>
      </c>
      <c r="F6" s="33">
        <f>'ожидаемое 2019'!J12</f>
        <v>1</v>
      </c>
      <c r="G6" s="28" t="str">
        <f>IF(F6&lt;90%,"&lt;90%",IF(F6&lt;100%,"90%-100%","100% и&gt;"))</f>
        <v>100% и&gt;</v>
      </c>
      <c r="H6" s="28" t="str">
        <f>IF(G6="&lt;90%","не выполнено",IF(G6="90%-100%","в целом выполнено","выполнено"))</f>
        <v>выполнено</v>
      </c>
      <c r="I6" s="33">
        <f>'ожидаемое 2019'!K6</f>
        <v>0.98333333333333339</v>
      </c>
      <c r="J6" s="28" t="str">
        <f>IF(I6&lt;90%,"&lt;90%",IF(I6&lt;100%,"90%-100%","100% и&gt;"))</f>
        <v>90%-100%</v>
      </c>
      <c r="K6" s="28" t="str">
        <f>IF(J6="&lt;90%","не выполнено",IF(J6="90%-100%","в целом выполнено","выполнено"))</f>
        <v>в целом выполнено</v>
      </c>
    </row>
    <row r="7" spans="1:11" s="44" customFormat="1" ht="13.2" x14ac:dyDescent="0.3">
      <c r="A7" s="32" t="s">
        <v>63</v>
      </c>
      <c r="B7" s="34" t="s">
        <v>113</v>
      </c>
      <c r="C7" s="33">
        <f>'ожидаемое 2019'!J13</f>
        <v>1</v>
      </c>
      <c r="D7" s="28" t="str">
        <f>IF(C7&lt;90%,"&lt;90%",IF(C7&lt;100%,"90%-100%","100% и&gt;"))</f>
        <v>100% и&gt;</v>
      </c>
      <c r="E7" s="28" t="str">
        <f>IF(D7="&lt;90%","не выполнено",IF(D7="90%-100%","в целом выполнено","выполнено"))</f>
        <v>выполнено</v>
      </c>
      <c r="F7" s="33">
        <f>'ожидаемое 2019'!J19</f>
        <v>1</v>
      </c>
      <c r="G7" s="28" t="str">
        <f>IF(F7&lt;90%,"&lt;90%",IF(F7&lt;100%,"90%-100%","100% и&gt;"))</f>
        <v>100% и&gt;</v>
      </c>
      <c r="H7" s="28" t="str">
        <f>IF(G7="&lt;90%","не выполнено",IF(G7="90%-100%","в целом выполнено","выполнено"))</f>
        <v>выполнено</v>
      </c>
      <c r="I7" s="33">
        <f>'ожидаемое 2019'!K13</f>
        <v>1</v>
      </c>
      <c r="J7" s="28" t="str">
        <f>IF(I7&lt;90%,"&lt;90%",IF(I7&lt;100%,"90%-100%","100% и&gt;"))</f>
        <v>100% и&gt;</v>
      </c>
      <c r="K7" s="28" t="str">
        <f>IF(J7="&lt;90%","не выполнено",IF(J7="90%-100%","в целом выполнено","выполнено"))</f>
        <v>выполнено</v>
      </c>
    </row>
    <row r="8" spans="1:11" s="42" customFormat="1" ht="15.6" x14ac:dyDescent="0.3">
      <c r="A8" s="25" t="s">
        <v>2</v>
      </c>
      <c r="B8" s="26" t="s">
        <v>16</v>
      </c>
      <c r="C8" s="27">
        <f>MIN(C10:C11)</f>
        <v>1</v>
      </c>
      <c r="D8" s="28" t="str">
        <f>IF(C8&lt;90%,"&lt;90%",IF(C8&lt;100%,"90%-100%","100% и&gt;"))</f>
        <v>100% и&gt;</v>
      </c>
      <c r="E8" s="28" t="str">
        <f>IF(D8="&lt;90%","не выполнено",IF(D8="90%-100%","в целом выполнено","выполнено"))</f>
        <v>выполнено</v>
      </c>
      <c r="F8" s="27">
        <f>MIN(F10:F11)</f>
        <v>1</v>
      </c>
      <c r="G8" s="28" t="str">
        <f>IF(F8&lt;90%,"&lt;90%",IF(F8&lt;100%,"90%-100%","100% и&gt;"))</f>
        <v>100% и&gt;</v>
      </c>
      <c r="H8" s="28" t="str">
        <f>IF(G8="&lt;90%","не выполнено",IF(G8="90%-100%","в целом выполнено","выполнено"))</f>
        <v>выполнено</v>
      </c>
      <c r="I8" s="27">
        <f>MIN(I10:I11)</f>
        <v>1</v>
      </c>
      <c r="J8" s="28" t="str">
        <f>IF(I8&lt;90%,"&lt;90%",IF(I8&lt;100%,"90%-100%","100% и&gt;"))</f>
        <v>100% и&gt;</v>
      </c>
      <c r="K8" s="28" t="str">
        <f>IF(J8="&lt;90%","не выполнено",IF(J8="90%-100%","в целом выполнено","выполнено"))</f>
        <v>выполнено</v>
      </c>
    </row>
    <row r="9" spans="1:11" s="43" customFormat="1" ht="11.25" customHeight="1" x14ac:dyDescent="0.3">
      <c r="A9" s="29"/>
      <c r="B9" s="47" t="s">
        <v>64</v>
      </c>
      <c r="C9" s="30"/>
      <c r="D9" s="31"/>
      <c r="E9" s="31"/>
      <c r="F9" s="30"/>
      <c r="G9" s="31"/>
      <c r="H9" s="31"/>
      <c r="I9" s="30"/>
      <c r="J9" s="31"/>
      <c r="K9" s="31"/>
    </row>
    <row r="10" spans="1:11" s="44" customFormat="1" ht="13.2" x14ac:dyDescent="0.3">
      <c r="A10" s="32" t="s">
        <v>65</v>
      </c>
      <c r="B10" s="34" t="s">
        <v>112</v>
      </c>
      <c r="C10" s="33">
        <f>'ожидаемое 2019'!J20</f>
        <v>1</v>
      </c>
      <c r="D10" s="28" t="str">
        <f>IF(C10&lt;90%,"&lt;90%",IF(C10&lt;100%,"90%-100%","100% и&gt;"))</f>
        <v>100% и&gt;</v>
      </c>
      <c r="E10" s="28" t="str">
        <f>IF(D10="&lt;90%","не выполнено",IF(D10="90%-100%","в целом выполнено","выполнено"))</f>
        <v>выполнено</v>
      </c>
      <c r="F10" s="33">
        <f>'ожидаемое 2019'!J26</f>
        <v>1</v>
      </c>
      <c r="G10" s="28" t="str">
        <f>IF(F10&lt;90%,"&lt;90%",IF(F10&lt;100%,"90%-100%","100% и&gt;"))</f>
        <v>100% и&gt;</v>
      </c>
      <c r="H10" s="28" t="str">
        <f>IF(G10="&lt;90%","не выполнено",IF(G10="90%-100%","в целом выполнено","выполнено"))</f>
        <v>выполнено</v>
      </c>
      <c r="I10" s="33">
        <f>'ожидаемое 2019'!K20</f>
        <v>1</v>
      </c>
      <c r="J10" s="28" t="str">
        <f>IF(I10&lt;90%,"&lt;90%",IF(I10&lt;100%,"90%-100%","100% и&gt;"))</f>
        <v>100% и&gt;</v>
      </c>
      <c r="K10" s="28" t="str">
        <f>IF(J10="&lt;90%","не выполнено",IF(J10="90%-100%","в целом выполнено","выполнено"))</f>
        <v>выполнено</v>
      </c>
    </row>
    <row r="11" spans="1:11" s="44" customFormat="1" ht="13.2" x14ac:dyDescent="0.3">
      <c r="A11" s="32" t="s">
        <v>66</v>
      </c>
      <c r="B11" s="34" t="s">
        <v>113</v>
      </c>
      <c r="C11" s="33">
        <f>'ожидаемое 2019'!J27</f>
        <v>1</v>
      </c>
      <c r="D11" s="28" t="str">
        <f>IF(C11&lt;90%,"&lt;90%",IF(C11&lt;100%,"90%-100%","100% и&gt;"))</f>
        <v>100% и&gt;</v>
      </c>
      <c r="E11" s="28" t="str">
        <f>IF(D11="&lt;90%","не выполнено",IF(D11="90%-100%","в целом выполнено","выполнено"))</f>
        <v>выполнено</v>
      </c>
      <c r="F11" s="33">
        <f>'ожидаемое 2019'!J33</f>
        <v>1</v>
      </c>
      <c r="G11" s="28" t="str">
        <f>IF(F11&lt;90%,"&lt;90%",IF(F11&lt;100%,"90%-100%","100% и&gt;"))</f>
        <v>100% и&gt;</v>
      </c>
      <c r="H11" s="28" t="str">
        <f>IF(G11="&lt;90%","не выполнено",IF(G11="90%-100%","в целом выполнено","выполнено"))</f>
        <v>выполнено</v>
      </c>
      <c r="I11" s="33">
        <f>'ожидаемое 2019'!K27</f>
        <v>1</v>
      </c>
      <c r="J11" s="28" t="str">
        <f>IF(I11&lt;90%,"&lt;90%",IF(I11&lt;100%,"90%-100%","100% и&gt;"))</f>
        <v>100% и&gt;</v>
      </c>
      <c r="K11" s="28" t="str">
        <f>IF(J11="&lt;90%","не выполнено",IF(J11="90%-100%","в целом выполнено","выполнено"))</f>
        <v>выполнено</v>
      </c>
    </row>
    <row r="12" spans="1:11" s="42" customFormat="1" ht="15.6" x14ac:dyDescent="0.3">
      <c r="A12" s="25" t="s">
        <v>3</v>
      </c>
      <c r="B12" s="26" t="s">
        <v>19</v>
      </c>
      <c r="C12" s="27">
        <f>MIN(C14:C15)</f>
        <v>1</v>
      </c>
      <c r="D12" s="28" t="str">
        <f>IF(C12&lt;90%,"&lt;90%",IF(C12&lt;100%,"90%-100%","100% и&gt;"))</f>
        <v>100% и&gt;</v>
      </c>
      <c r="E12" s="28" t="str">
        <f>IF(D12="&lt;90%","не выполнено",IF(D12="90%-100%","в целом выполнено","выполнено"))</f>
        <v>выполнено</v>
      </c>
      <c r="F12" s="27">
        <f>MIN(F14:F15)</f>
        <v>1</v>
      </c>
      <c r="G12" s="28" t="str">
        <f>IF(F12&lt;90%,"&lt;90%",IF(F12&lt;100%,"90%-100%","100% и&gt;"))</f>
        <v>100% и&gt;</v>
      </c>
      <c r="H12" s="28" t="str">
        <f>IF(G12="&lt;90%","не выполнено",IF(G12="90%-100%","в целом выполнено","выполнено"))</f>
        <v>выполнено</v>
      </c>
      <c r="I12" s="27">
        <f>MIN(I14:I15)</f>
        <v>1</v>
      </c>
      <c r="J12" s="28" t="str">
        <f>IF(I12&lt;90%,"&lt;90%",IF(I12&lt;100%,"90%-100%","100% и&gt;"))</f>
        <v>100% и&gt;</v>
      </c>
      <c r="K12" s="28" t="str">
        <f>IF(J12="&lt;90%","не выполнено",IF(J12="90%-100%","в целом выполнено","выполнено"))</f>
        <v>выполнено</v>
      </c>
    </row>
    <row r="13" spans="1:11" s="43" customFormat="1" ht="11.25" customHeight="1" x14ac:dyDescent="0.3">
      <c r="A13" s="29"/>
      <c r="B13" s="47" t="s">
        <v>64</v>
      </c>
      <c r="C13" s="30"/>
      <c r="D13" s="31"/>
      <c r="E13" s="31"/>
      <c r="F13" s="30"/>
      <c r="G13" s="31"/>
      <c r="H13" s="31"/>
      <c r="I13" s="30"/>
      <c r="J13" s="31"/>
      <c r="K13" s="31"/>
    </row>
    <row r="14" spans="1:11" s="44" customFormat="1" ht="13.2" x14ac:dyDescent="0.3">
      <c r="A14" s="32" t="s">
        <v>67</v>
      </c>
      <c r="B14" s="34" t="s">
        <v>113</v>
      </c>
      <c r="C14" s="33">
        <f>'ожидаемое 2019'!J72</f>
        <v>1</v>
      </c>
      <c r="D14" s="28" t="str">
        <f>IF(C14&lt;90%,"&lt;90%",IF(C14&lt;100%,"90%-100%","100% и&gt;"))</f>
        <v>100% и&gt;</v>
      </c>
      <c r="E14" s="28" t="str">
        <f>IF(D14="&lt;90%","не выполнено",IF(D14="90%-100%","в целом выполнено","выполнено"))</f>
        <v>выполнено</v>
      </c>
      <c r="F14" s="33">
        <f>'ожидаемое 2019'!J78</f>
        <v>1</v>
      </c>
      <c r="G14" s="28" t="str">
        <f>IF(F14&lt;90%,"&lt;90%",IF(F14&lt;100%,"90%-100%","100% и&gt;"))</f>
        <v>100% и&gt;</v>
      </c>
      <c r="H14" s="28" t="str">
        <f>IF(G14="&lt;90%","не выполнено",IF(G14="90%-100%","в целом выполнено","выполнено"))</f>
        <v>выполнено</v>
      </c>
      <c r="I14" s="33">
        <f>'ожидаемое 2019'!K72</f>
        <v>1</v>
      </c>
      <c r="J14" s="28" t="str">
        <f>IF(I14&lt;90%,"&lt;90%",IF(I14&lt;100%,"90%-100%","100% и&gt;"))</f>
        <v>100% и&gt;</v>
      </c>
      <c r="K14" s="28" t="str">
        <f>IF(J14="&lt;90%","не выполнено",IF(J14="90%-100%","в целом выполнено","выполнено"))</f>
        <v>выполнено</v>
      </c>
    </row>
    <row r="15" spans="1:11" s="44" customFormat="1" ht="13.2" x14ac:dyDescent="0.3">
      <c r="A15" s="32" t="s">
        <v>68</v>
      </c>
      <c r="B15" s="34" t="s">
        <v>114</v>
      </c>
      <c r="C15" s="33">
        <f>'ожидаемое 2019'!J79</f>
        <v>1</v>
      </c>
      <c r="D15" s="28" t="str">
        <f>IF(C15&lt;90%,"&lt;90%",IF(C15&lt;100%,"90%-100%","100% и&gt;"))</f>
        <v>100% и&gt;</v>
      </c>
      <c r="E15" s="28" t="str">
        <f>IF(D15="&lt;90%","не выполнено",IF(D15="90%-100%","в целом выполнено","выполнено"))</f>
        <v>выполнено</v>
      </c>
      <c r="F15" s="33">
        <f>'ожидаемое 2019'!J83</f>
        <v>1</v>
      </c>
      <c r="G15" s="28" t="str">
        <f>IF(F15&lt;90%,"&lt;90%",IF(F15&lt;100%,"90%-100%","100% и&gt;"))</f>
        <v>100% и&gt;</v>
      </c>
      <c r="H15" s="28" t="str">
        <f>IF(G15="&lt;90%","не выполнено",IF(G15="90%-100%","в целом выполнено","выполнено"))</f>
        <v>выполнено</v>
      </c>
      <c r="I15" s="33">
        <f>'ожидаемое 2019'!K79</f>
        <v>1</v>
      </c>
      <c r="J15" s="28" t="str">
        <f>IF(I15&lt;90%,"&lt;90%",IF(I15&lt;100%,"90%-100%","100% и&gt;"))</f>
        <v>100% и&gt;</v>
      </c>
      <c r="K15" s="28" t="str">
        <f>IF(J15="&lt;90%","не выполнено",IF(J15="90%-100%","в целом выполнено","выполнено"))</f>
        <v>выполнено</v>
      </c>
    </row>
    <row r="16" spans="1:11" s="44" customFormat="1" ht="13.2" hidden="1" x14ac:dyDescent="0.3">
      <c r="A16" s="32" t="s">
        <v>70</v>
      </c>
      <c r="B16" s="34" t="s">
        <v>71</v>
      </c>
      <c r="C16" s="33"/>
      <c r="D16" s="28"/>
      <c r="E16" s="28"/>
      <c r="F16" s="33"/>
      <c r="G16" s="28"/>
      <c r="H16" s="28"/>
      <c r="I16" s="33"/>
      <c r="J16" s="28"/>
      <c r="K16" s="28"/>
    </row>
    <row r="17" spans="1:11" s="42" customFormat="1" ht="15.6" x14ac:dyDescent="0.3">
      <c r="A17" s="25" t="s">
        <v>4</v>
      </c>
      <c r="B17" s="26" t="s">
        <v>28</v>
      </c>
      <c r="C17" s="27">
        <f>MIN(C19:C20)</f>
        <v>1</v>
      </c>
      <c r="D17" s="28" t="str">
        <f>IF(C17&lt;90%,"&lt;90%",IF(C17&lt;100%,"90%-100%","100% и&gt;"))</f>
        <v>100% и&gt;</v>
      </c>
      <c r="E17" s="28" t="str">
        <f>IF(D17="&lt;90%","не выполнено",IF(D17="90%-100%","в целом выполнено","выполнено"))</f>
        <v>выполнено</v>
      </c>
      <c r="F17" s="27">
        <f>MIN(F19:F20)</f>
        <v>1</v>
      </c>
      <c r="G17" s="28" t="str">
        <f>IF(F17&lt;90%,"&lt;90%",IF(F17&lt;100%,"90%-100%","100% и&gt;"))</f>
        <v>100% и&gt;</v>
      </c>
      <c r="H17" s="28" t="str">
        <f>IF(G17="&lt;90%","не выполнено",IF(G17="90%-100%","в целом выполнено","выполнено"))</f>
        <v>выполнено</v>
      </c>
      <c r="I17" s="27">
        <f>MIN(I19:I20)</f>
        <v>1</v>
      </c>
      <c r="J17" s="28" t="str">
        <f>IF(I17&lt;90%,"&lt;90%",IF(I17&lt;100%,"90%-100%","100% и&gt;"))</f>
        <v>100% и&gt;</v>
      </c>
      <c r="K17" s="28" t="str">
        <f>IF(J17="&lt;90%","не выполнено",IF(J17="90%-100%","в целом выполнено","выполнено"))</f>
        <v>выполнено</v>
      </c>
    </row>
    <row r="18" spans="1:11" s="43" customFormat="1" ht="11.25" customHeight="1" x14ac:dyDescent="0.3">
      <c r="A18" s="29"/>
      <c r="B18" s="47" t="s">
        <v>61</v>
      </c>
      <c r="C18" s="30"/>
      <c r="D18" s="31"/>
      <c r="E18" s="31"/>
      <c r="F18" s="30"/>
      <c r="G18" s="31"/>
      <c r="H18" s="31"/>
      <c r="I18" s="30"/>
      <c r="J18" s="31"/>
      <c r="K18" s="31"/>
    </row>
    <row r="19" spans="1:11" s="44" customFormat="1" ht="13.2" x14ac:dyDescent="0.3">
      <c r="A19" s="32" t="s">
        <v>72</v>
      </c>
      <c r="B19" s="34" t="s">
        <v>113</v>
      </c>
      <c r="C19" s="33">
        <f>'ожидаемое 2019'!J84</f>
        <v>1</v>
      </c>
      <c r="D19" s="28" t="str">
        <f>IF(C19&lt;90%,"&lt;90%",IF(C19&lt;100%,"90%-100%","100% и&gt;"))</f>
        <v>100% и&gt;</v>
      </c>
      <c r="E19" s="28" t="str">
        <f>IF(D19="&lt;90%","не выполнено",IF(D19="90%-100%","в целом выполнено","выполнено"))</f>
        <v>выполнено</v>
      </c>
      <c r="F19" s="33">
        <f>'ожидаемое 2019'!J90</f>
        <v>1</v>
      </c>
      <c r="G19" s="28" t="str">
        <f>IF(F19&lt;90%,"&lt;90%",IF(F19&lt;100%,"90%-100%","100% и&gt;"))</f>
        <v>100% и&gt;</v>
      </c>
      <c r="H19" s="28" t="str">
        <f>IF(G19="&lt;90%","не выполнено",IF(G19="90%-100%","в целом выполнено","выполнено"))</f>
        <v>выполнено</v>
      </c>
      <c r="I19" s="33">
        <f>'ожидаемое 2019'!K84</f>
        <v>1</v>
      </c>
      <c r="J19" s="28" t="str">
        <f>IF(I19&lt;90%,"&lt;90%",IF(I19&lt;100%,"90%-100%","100% и&gt;"))</f>
        <v>100% и&gt;</v>
      </c>
      <c r="K19" s="28" t="str">
        <f>IF(J19="&lt;90%","не выполнено",IF(J19="90%-100%","в целом выполнено","выполнено"))</f>
        <v>выполнено</v>
      </c>
    </row>
    <row r="20" spans="1:11" s="44" customFormat="1" ht="13.2" x14ac:dyDescent="0.3">
      <c r="A20" s="32" t="s">
        <v>73</v>
      </c>
      <c r="B20" s="34" t="s">
        <v>114</v>
      </c>
      <c r="C20" s="33">
        <f>'ожидаемое 2019'!J91</f>
        <v>1</v>
      </c>
      <c r="D20" s="28" t="str">
        <f>IF(C20&lt;90%,"&lt;90%",IF(C20&lt;100%,"90%-100%","100% и&gt;"))</f>
        <v>100% и&gt;</v>
      </c>
      <c r="E20" s="28" t="str">
        <f>IF(D20="&lt;90%","не выполнено",IF(D20="90%-100%","в целом выполнено","выполнено"))</f>
        <v>выполнено</v>
      </c>
      <c r="F20" s="33">
        <f>'ожидаемое 2019'!J95</f>
        <v>1</v>
      </c>
      <c r="G20" s="28" t="str">
        <f>IF(F20&lt;90%,"&lt;90%",IF(F20&lt;100%,"90%-100%","100% и&gt;"))</f>
        <v>100% и&gt;</v>
      </c>
      <c r="H20" s="28" t="str">
        <f>IF(G20="&lt;90%","не выполнено",IF(G20="90%-100%","в целом выполнено","выполнено"))</f>
        <v>выполнено</v>
      </c>
      <c r="I20" s="33">
        <f>'ожидаемое 2019'!K91</f>
        <v>1</v>
      </c>
      <c r="J20" s="28" t="str">
        <f>IF(I20&lt;90%,"&lt;90%",IF(I20&lt;100%,"90%-100%","100% и&gt;"))</f>
        <v>100% и&gt;</v>
      </c>
      <c r="K20" s="28" t="str">
        <f>IF(J20="&lt;90%","не выполнено",IF(J20="90%-100%","в целом выполнено","выполнено"))</f>
        <v>выполнено</v>
      </c>
    </row>
    <row r="21" spans="1:11" s="44" customFormat="1" ht="13.2" hidden="1" x14ac:dyDescent="0.3">
      <c r="A21" s="32" t="s">
        <v>74</v>
      </c>
      <c r="B21" s="34" t="s">
        <v>71</v>
      </c>
      <c r="C21" s="33"/>
      <c r="D21" s="28"/>
      <c r="E21" s="28"/>
      <c r="F21" s="33"/>
      <c r="G21" s="28"/>
      <c r="H21" s="28"/>
      <c r="I21" s="33"/>
      <c r="J21" s="28"/>
      <c r="K21" s="28"/>
    </row>
    <row r="22" spans="1:11" s="42" customFormat="1" ht="15.6" x14ac:dyDescent="0.3">
      <c r="A22" s="25" t="s">
        <v>5</v>
      </c>
      <c r="B22" s="26" t="s">
        <v>27</v>
      </c>
      <c r="C22" s="27">
        <f>MIN(C24:C25)</f>
        <v>1</v>
      </c>
      <c r="D22" s="28" t="str">
        <f>IF(C22&lt;90%,"&lt;90%",IF(C22&lt;100%,"90%-100%","100% и&gt;"))</f>
        <v>100% и&gt;</v>
      </c>
      <c r="E22" s="28" t="str">
        <f>IF(D22="&lt;90%","не выполнено",IF(D22="90%-100%","в целом выполнено","выполнено"))</f>
        <v>выполнено</v>
      </c>
      <c r="F22" s="27">
        <f>MIN(F24:F25)</f>
        <v>1</v>
      </c>
      <c r="G22" s="28" t="str">
        <f>IF(F22&lt;90%,"&lt;90%",IF(F22&lt;100%,"90%-100%","100% и&gt;"))</f>
        <v>100% и&gt;</v>
      </c>
      <c r="H22" s="28" t="str">
        <f>IF(G22="&lt;90%","не выполнено",IF(G22="90%-100%","в целом выполнено","выполнено"))</f>
        <v>выполнено</v>
      </c>
      <c r="I22" s="27">
        <f>MIN(I24:I25)</f>
        <v>1</v>
      </c>
      <c r="J22" s="28" t="str">
        <f>IF(I22&lt;90%,"&lt;90%",IF(I22&lt;100%,"90%-100%","100% и&gt;"))</f>
        <v>100% и&gt;</v>
      </c>
      <c r="K22" s="28" t="str">
        <f>IF(J22="&lt;90%","не выполнено",IF(J22="90%-100%","в целом выполнено","выполнено"))</f>
        <v>выполнено</v>
      </c>
    </row>
    <row r="23" spans="1:11" s="43" customFormat="1" ht="11.25" customHeight="1" x14ac:dyDescent="0.3">
      <c r="A23" s="29"/>
      <c r="B23" s="47" t="s">
        <v>61</v>
      </c>
      <c r="C23" s="30"/>
      <c r="D23" s="31"/>
      <c r="E23" s="31"/>
      <c r="F23" s="30"/>
      <c r="G23" s="31"/>
      <c r="H23" s="31"/>
      <c r="I23" s="30"/>
      <c r="J23" s="31"/>
      <c r="K23" s="31"/>
    </row>
    <row r="24" spans="1:11" s="44" customFormat="1" ht="13.2" x14ac:dyDescent="0.3">
      <c r="A24" s="32" t="s">
        <v>75</v>
      </c>
      <c r="B24" s="34" t="s">
        <v>113</v>
      </c>
      <c r="C24" s="33">
        <f>'ожидаемое 2019'!J96</f>
        <v>1</v>
      </c>
      <c r="D24" s="28" t="str">
        <f>IF(C24&lt;90%,"&lt;90%",IF(C24&lt;100%,"90%-100%","100% и&gt;"))</f>
        <v>100% и&gt;</v>
      </c>
      <c r="E24" s="28" t="str">
        <f>IF(D24="&lt;90%","не выполнено",IF(D24="90%-100%","в целом выполнено","выполнено"))</f>
        <v>выполнено</v>
      </c>
      <c r="F24" s="33">
        <f>'ожидаемое 2019'!J102</f>
        <v>1</v>
      </c>
      <c r="G24" s="28" t="str">
        <f>IF(F24&lt;90%,"&lt;90%",IF(F24&lt;100%,"90%-100%","100% и&gt;"))</f>
        <v>100% и&gt;</v>
      </c>
      <c r="H24" s="28" t="str">
        <f>IF(G24="&lt;90%","не выполнено",IF(G24="90%-100%","в целом выполнено","выполнено"))</f>
        <v>выполнено</v>
      </c>
      <c r="I24" s="33">
        <f>'ожидаемое 2019'!K96</f>
        <v>1</v>
      </c>
      <c r="J24" s="28" t="str">
        <f>IF(I24&lt;90%,"&lt;90%",IF(I24&lt;100%,"90%-100%","100% и&gt;"))</f>
        <v>100% и&gt;</v>
      </c>
      <c r="K24" s="28" t="str">
        <f>IF(J24="&lt;90%","не выполнено",IF(J24="90%-100%","в целом выполнено","выполнено"))</f>
        <v>выполнено</v>
      </c>
    </row>
    <row r="25" spans="1:11" s="44" customFormat="1" ht="13.2" x14ac:dyDescent="0.3">
      <c r="A25" s="32" t="s">
        <v>76</v>
      </c>
      <c r="B25" s="34" t="s">
        <v>114</v>
      </c>
      <c r="C25" s="33">
        <f>'ожидаемое 2019'!J103</f>
        <v>1</v>
      </c>
      <c r="D25" s="28" t="str">
        <f>IF(C25&lt;90%,"&lt;90%",IF(C25&lt;100%,"90%-100%","100% и&gt;"))</f>
        <v>100% и&gt;</v>
      </c>
      <c r="E25" s="28" t="str">
        <f>IF(D25="&lt;90%","не выполнено",IF(D25="90%-100%","в целом выполнено","выполнено"))</f>
        <v>выполнено</v>
      </c>
      <c r="F25" s="33">
        <f>'ожидаемое 2019'!J107</f>
        <v>1</v>
      </c>
      <c r="G25" s="28" t="str">
        <f>IF(F25&lt;90%,"&lt;90%",IF(F25&lt;100%,"90%-100%","100% и&gt;"))</f>
        <v>100% и&gt;</v>
      </c>
      <c r="H25" s="28" t="str">
        <f>IF(G25="&lt;90%","не выполнено",IF(G25="90%-100%","в целом выполнено","выполнено"))</f>
        <v>выполнено</v>
      </c>
      <c r="I25" s="33">
        <f>'ожидаемое 2019'!K103</f>
        <v>1</v>
      </c>
      <c r="J25" s="28" t="str">
        <f>IF(I25&lt;90%,"&lt;90%",IF(I25&lt;100%,"90%-100%","100% и&gt;"))</f>
        <v>100% и&gt;</v>
      </c>
      <c r="K25" s="28" t="str">
        <f>IF(J25="&lt;90%","не выполнено",IF(J25="90%-100%","в целом выполнено","выполнено"))</f>
        <v>выполнено</v>
      </c>
    </row>
    <row r="26" spans="1:11" s="44" customFormat="1" ht="13.2" hidden="1" x14ac:dyDescent="0.3">
      <c r="A26" s="32" t="s">
        <v>77</v>
      </c>
      <c r="B26" s="34" t="s">
        <v>71</v>
      </c>
      <c r="C26" s="33"/>
      <c r="D26" s="28"/>
      <c r="E26" s="28"/>
      <c r="F26" s="33"/>
      <c r="G26" s="28"/>
      <c r="H26" s="28"/>
      <c r="I26" s="33"/>
      <c r="J26" s="28"/>
      <c r="K26" s="28"/>
    </row>
    <row r="27" spans="1:11" s="42" customFormat="1" ht="15.6" x14ac:dyDescent="0.3">
      <c r="A27" s="25" t="s">
        <v>78</v>
      </c>
      <c r="B27" s="26" t="s">
        <v>26</v>
      </c>
      <c r="C27" s="27">
        <f>MIN(C29:C30)</f>
        <v>1</v>
      </c>
      <c r="D27" s="28" t="str">
        <f>IF(C27&lt;90%,"&lt;90%",IF(C27&lt;100%,"90%-100%","100% и&gt;"))</f>
        <v>100% и&gt;</v>
      </c>
      <c r="E27" s="28" t="str">
        <f>IF(D27="&lt;90%","не выполнено",IF(D27="90%-100%","в целом выполнено","выполнено"))</f>
        <v>выполнено</v>
      </c>
      <c r="F27" s="27">
        <f>MIN(F29:F30)</f>
        <v>1</v>
      </c>
      <c r="G27" s="28" t="str">
        <f>IF(F27&lt;90%,"&lt;90%",IF(F27&lt;100%,"90%-100%","100% и&gt;"))</f>
        <v>100% и&gt;</v>
      </c>
      <c r="H27" s="28" t="str">
        <f>IF(G27="&lt;90%","не выполнено",IF(G27="90%-100%","в целом выполнено","выполнено"))</f>
        <v>выполнено</v>
      </c>
      <c r="I27" s="27">
        <f>MIN(I29:I30)</f>
        <v>1</v>
      </c>
      <c r="J27" s="28" t="str">
        <f>IF(I27&lt;90%,"&lt;90%",IF(I27&lt;100%,"90%-100%","100% и&gt;"))</f>
        <v>100% и&gt;</v>
      </c>
      <c r="K27" s="28" t="str">
        <f>IF(J27="&lt;90%","не выполнено",IF(J27="90%-100%","в целом выполнено","выполнено"))</f>
        <v>выполнено</v>
      </c>
    </row>
    <row r="28" spans="1:11" s="43" customFormat="1" ht="11.25" customHeight="1" x14ac:dyDescent="0.3">
      <c r="A28" s="29"/>
      <c r="B28" s="47" t="s">
        <v>61</v>
      </c>
      <c r="C28" s="30"/>
      <c r="D28" s="31"/>
      <c r="E28" s="31"/>
      <c r="F28" s="30"/>
      <c r="G28" s="31"/>
      <c r="H28" s="31"/>
      <c r="I28" s="30"/>
      <c r="J28" s="31"/>
      <c r="K28" s="31"/>
    </row>
    <row r="29" spans="1:11" s="44" customFormat="1" ht="13.2" x14ac:dyDescent="0.3">
      <c r="A29" s="32" t="s">
        <v>79</v>
      </c>
      <c r="B29" s="34" t="s">
        <v>113</v>
      </c>
      <c r="C29" s="33">
        <f>'ожидаемое 2019'!J108</f>
        <v>1</v>
      </c>
      <c r="D29" s="28" t="str">
        <f>IF(C29&lt;90%,"&lt;90%",IF(C29&lt;100%,"90%-100%","100% и&gt;"))</f>
        <v>100% и&gt;</v>
      </c>
      <c r="E29" s="28" t="str">
        <f>IF(D29="&lt;90%","не выполнено",IF(D29="90%-100%","в целом выполнено","выполнено"))</f>
        <v>выполнено</v>
      </c>
      <c r="F29" s="33">
        <f>'ожидаемое 2019'!J114</f>
        <v>1</v>
      </c>
      <c r="G29" s="28" t="str">
        <f>IF(F29&lt;90%,"&lt;90%",IF(F29&lt;100%,"90%-100%","100% и&gt;"))</f>
        <v>100% и&gt;</v>
      </c>
      <c r="H29" s="28" t="str">
        <f>IF(G29="&lt;90%","не выполнено",IF(G29="90%-100%","в целом выполнено","выполнено"))</f>
        <v>выполнено</v>
      </c>
      <c r="I29" s="33">
        <f>'ожидаемое 2019'!K108</f>
        <v>1</v>
      </c>
      <c r="J29" s="28" t="str">
        <f>IF(I29&lt;90%,"&lt;90%",IF(I29&lt;100%,"90%-100%","100% и&gt;"))</f>
        <v>100% и&gt;</v>
      </c>
      <c r="K29" s="28" t="str">
        <f>IF(J29="&lt;90%","не выполнено",IF(J29="90%-100%","в целом выполнено","выполнено"))</f>
        <v>выполнено</v>
      </c>
    </row>
    <row r="30" spans="1:11" s="44" customFormat="1" ht="13.2" x14ac:dyDescent="0.3">
      <c r="A30" s="32" t="s">
        <v>80</v>
      </c>
      <c r="B30" s="34" t="s">
        <v>114</v>
      </c>
      <c r="C30" s="33">
        <f>'ожидаемое 2019'!J115</f>
        <v>1</v>
      </c>
      <c r="D30" s="28" t="str">
        <f>IF(C30&lt;90%,"&lt;90%",IF(C30&lt;100%,"90%-100%","100% и&gt;"))</f>
        <v>100% и&gt;</v>
      </c>
      <c r="E30" s="28" t="str">
        <f>IF(D30="&lt;90%","не выполнено",IF(D30="90%-100%","в целом выполнено","выполнено"))</f>
        <v>выполнено</v>
      </c>
      <c r="F30" s="33">
        <f>'ожидаемое 2019'!J119</f>
        <v>1</v>
      </c>
      <c r="G30" s="28" t="str">
        <f>IF(F30&lt;90%,"&lt;90%",IF(F30&lt;100%,"90%-100%","100% и&gt;"))</f>
        <v>100% и&gt;</v>
      </c>
      <c r="H30" s="28" t="str">
        <f>IF(G30="&lt;90%","не выполнено",IF(G30="90%-100%","в целом выполнено","выполнено"))</f>
        <v>выполнено</v>
      </c>
      <c r="I30" s="33">
        <f>'ожидаемое 2019'!K115</f>
        <v>1</v>
      </c>
      <c r="J30" s="28" t="str">
        <f>IF(I30&lt;90%,"&lt;90%",IF(I30&lt;100%,"90%-100%","100% и&gt;"))</f>
        <v>100% и&gt;</v>
      </c>
      <c r="K30" s="28" t="str">
        <f>IF(J30="&lt;90%","не выполнено",IF(J30="90%-100%","в целом выполнено","выполнено"))</f>
        <v>выполнено</v>
      </c>
    </row>
    <row r="31" spans="1:11" s="44" customFormat="1" ht="13.2" hidden="1" x14ac:dyDescent="0.3">
      <c r="A31" s="32" t="s">
        <v>81</v>
      </c>
      <c r="B31" s="34" t="s">
        <v>71</v>
      </c>
      <c r="C31" s="33"/>
      <c r="D31" s="28"/>
      <c r="E31" s="28"/>
      <c r="F31" s="33"/>
      <c r="G31" s="28"/>
      <c r="H31" s="28"/>
      <c r="I31" s="33"/>
      <c r="J31" s="28"/>
      <c r="K31" s="28"/>
    </row>
    <row r="32" spans="1:11" s="42" customFormat="1" ht="15.6" x14ac:dyDescent="0.3">
      <c r="A32" s="25" t="s">
        <v>82</v>
      </c>
      <c r="B32" s="26" t="s">
        <v>25</v>
      </c>
      <c r="C32" s="27">
        <f>MIN(C34:C35)</f>
        <v>1</v>
      </c>
      <c r="D32" s="28" t="str">
        <f>IF(C32&lt;90%,"&lt;90%",IF(C32&lt;100%,"90%-100%","100% и&gt;"))</f>
        <v>100% и&gt;</v>
      </c>
      <c r="E32" s="28" t="str">
        <f>IF(D32="&lt;90%","не выполнено",IF(D32="90%-100%","в целом выполнено","выполнено"))</f>
        <v>выполнено</v>
      </c>
      <c r="F32" s="27">
        <f>MIN(F34:F35)</f>
        <v>1</v>
      </c>
      <c r="G32" s="28" t="str">
        <f>IF(F32&lt;90%,"&lt;90%",IF(F32&lt;100%,"90%-100%","100% и&gt;"))</f>
        <v>100% и&gt;</v>
      </c>
      <c r="H32" s="28" t="str">
        <f>IF(G32="&lt;90%","не выполнено",IF(G32="90%-100%","в целом выполнено","выполнено"))</f>
        <v>выполнено</v>
      </c>
      <c r="I32" s="27">
        <f>MIN(I34:I35)</f>
        <v>1</v>
      </c>
      <c r="J32" s="28" t="str">
        <f>IF(I32&lt;90%,"&lt;90%",IF(I32&lt;100%,"90%-100%","100% и&gt;"))</f>
        <v>100% и&gt;</v>
      </c>
      <c r="K32" s="28" t="str">
        <f>IF(J32="&lt;90%","не выполнено",IF(J32="90%-100%","в целом выполнено","выполнено"))</f>
        <v>выполнено</v>
      </c>
    </row>
    <row r="33" spans="1:11" s="43" customFormat="1" ht="11.25" customHeight="1" x14ac:dyDescent="0.3">
      <c r="A33" s="29"/>
      <c r="B33" s="47" t="s">
        <v>61</v>
      </c>
      <c r="C33" s="30"/>
      <c r="D33" s="31"/>
      <c r="E33" s="31"/>
      <c r="F33" s="30"/>
      <c r="G33" s="31"/>
      <c r="H33" s="31"/>
      <c r="I33" s="30"/>
      <c r="J33" s="31"/>
      <c r="K33" s="31"/>
    </row>
    <row r="34" spans="1:11" s="44" customFormat="1" ht="13.2" x14ac:dyDescent="0.3">
      <c r="A34" s="32" t="s">
        <v>83</v>
      </c>
      <c r="B34" s="34" t="s">
        <v>113</v>
      </c>
      <c r="C34" s="33">
        <f>'ожидаемое 2019'!J120</f>
        <v>1</v>
      </c>
      <c r="D34" s="28" t="str">
        <f>IF(C34&lt;90%,"&lt;90%",IF(C34&lt;100%,"90%-100%","100% и&gt;"))</f>
        <v>100% и&gt;</v>
      </c>
      <c r="E34" s="28" t="str">
        <f>IF(D34="&lt;90%","не выполнено",IF(D34="90%-100%","в целом выполнено","выполнено"))</f>
        <v>выполнено</v>
      </c>
      <c r="F34" s="33">
        <f>'ожидаемое 2019'!J126</f>
        <v>1</v>
      </c>
      <c r="G34" s="28" t="str">
        <f>IF(F34&lt;90%,"&lt;90%",IF(F34&lt;100%,"90%-100%","100% и&gt;"))</f>
        <v>100% и&gt;</v>
      </c>
      <c r="H34" s="28" t="str">
        <f>IF(G34="&lt;90%","не выполнено",IF(G34="90%-100%","в целом выполнено","выполнено"))</f>
        <v>выполнено</v>
      </c>
      <c r="I34" s="33">
        <f>'ожидаемое 2019'!K120</f>
        <v>1</v>
      </c>
      <c r="J34" s="28" t="str">
        <f>IF(I34&lt;90%,"&lt;90%",IF(I34&lt;100%,"90%-100%","100% и&gt;"))</f>
        <v>100% и&gt;</v>
      </c>
      <c r="K34" s="28" t="str">
        <f>IF(J34="&lt;90%","не выполнено",IF(J34="90%-100%","в целом выполнено","выполнено"))</f>
        <v>выполнено</v>
      </c>
    </row>
    <row r="35" spans="1:11" s="44" customFormat="1" ht="13.2" x14ac:dyDescent="0.3">
      <c r="A35" s="32" t="s">
        <v>84</v>
      </c>
      <c r="B35" s="34" t="s">
        <v>114</v>
      </c>
      <c r="C35" s="33">
        <f>'ожидаемое 2019'!J127</f>
        <v>1</v>
      </c>
      <c r="D35" s="28" t="str">
        <f>IF(C35&lt;90%,"&lt;90%",IF(C35&lt;100%,"90%-100%","100% и&gt;"))</f>
        <v>100% и&gt;</v>
      </c>
      <c r="E35" s="28" t="str">
        <f>IF(D35="&lt;90%","не выполнено",IF(D35="90%-100%","в целом выполнено","выполнено"))</f>
        <v>выполнено</v>
      </c>
      <c r="F35" s="33">
        <f>'ожидаемое 2019'!J131</f>
        <v>1</v>
      </c>
      <c r="G35" s="28" t="str">
        <f>IF(F35&lt;90%,"&lt;90%",IF(F35&lt;100%,"90%-100%","100% и&gt;"))</f>
        <v>100% и&gt;</v>
      </c>
      <c r="H35" s="28" t="str">
        <f>IF(G35="&lt;90%","не выполнено",IF(G35="90%-100%","в целом выполнено","выполнено"))</f>
        <v>выполнено</v>
      </c>
      <c r="I35" s="33">
        <f>'ожидаемое 2019'!K127</f>
        <v>1</v>
      </c>
      <c r="J35" s="28" t="str">
        <f>IF(I35&lt;90%,"&lt;90%",IF(I35&lt;100%,"90%-100%","100% и&gt;"))</f>
        <v>100% и&gt;</v>
      </c>
      <c r="K35" s="28" t="str">
        <f>IF(J35="&lt;90%","не выполнено",IF(J35="90%-100%","в целом выполнено","выполнено"))</f>
        <v>выполнено</v>
      </c>
    </row>
    <row r="36" spans="1:11" s="44" customFormat="1" ht="13.2" hidden="1" x14ac:dyDescent="0.3">
      <c r="A36" s="32" t="s">
        <v>85</v>
      </c>
      <c r="B36" s="34" t="s">
        <v>71</v>
      </c>
      <c r="C36" s="33"/>
      <c r="D36" s="28"/>
      <c r="E36" s="28"/>
      <c r="F36" s="33"/>
      <c r="G36" s="28"/>
      <c r="H36" s="28"/>
      <c r="I36" s="33"/>
      <c r="J36" s="28"/>
      <c r="K36" s="28"/>
    </row>
    <row r="37" spans="1:11" s="42" customFormat="1" ht="15.6" x14ac:dyDescent="0.3">
      <c r="A37" s="25" t="s">
        <v>86</v>
      </c>
      <c r="B37" s="26" t="s">
        <v>24</v>
      </c>
      <c r="C37" s="27">
        <f>MIN(C39:C40)</f>
        <v>1</v>
      </c>
      <c r="D37" s="28" t="str">
        <f>IF(C37&lt;90%,"&lt;90%",IF(C37&lt;100%,"90%-100%","100% и&gt;"))</f>
        <v>100% и&gt;</v>
      </c>
      <c r="E37" s="28" t="str">
        <f>IF(D37="&lt;90%","не выполнено",IF(D37="90%-100%","в целом выполнено","выполнено"))</f>
        <v>выполнено</v>
      </c>
      <c r="F37" s="27">
        <f>MIN(F39:F40)</f>
        <v>1</v>
      </c>
      <c r="G37" s="28" t="str">
        <f>IF(F37&lt;90%,"&lt;90%",IF(F37&lt;100%,"90%-100%","100% и&gt;"))</f>
        <v>100% и&gt;</v>
      </c>
      <c r="H37" s="28" t="str">
        <f>IF(G37="&lt;90%","не выполнено",IF(G37="90%-100%","в целом выполнено","выполнено"))</f>
        <v>выполнено</v>
      </c>
      <c r="I37" s="27">
        <f>MIN(I39:I40)</f>
        <v>1</v>
      </c>
      <c r="J37" s="28" t="str">
        <f>IF(I37&lt;90%,"&lt;90%",IF(I37&lt;100%,"90%-100%","100% и&gt;"))</f>
        <v>100% и&gt;</v>
      </c>
      <c r="K37" s="28" t="str">
        <f>IF(J37="&lt;90%","не выполнено",IF(J37="90%-100%","в целом выполнено","выполнено"))</f>
        <v>выполнено</v>
      </c>
    </row>
    <row r="38" spans="1:11" s="43" customFormat="1" ht="11.25" customHeight="1" x14ac:dyDescent="0.3">
      <c r="A38" s="29"/>
      <c r="B38" s="47" t="s">
        <v>61</v>
      </c>
      <c r="C38" s="30"/>
      <c r="D38" s="31"/>
      <c r="E38" s="31"/>
      <c r="F38" s="30"/>
      <c r="G38" s="31"/>
      <c r="H38" s="31"/>
      <c r="I38" s="30"/>
      <c r="J38" s="31"/>
      <c r="K38" s="31"/>
    </row>
    <row r="39" spans="1:11" s="44" customFormat="1" ht="13.2" x14ac:dyDescent="0.3">
      <c r="A39" s="32" t="s">
        <v>87</v>
      </c>
      <c r="B39" s="34" t="s">
        <v>113</v>
      </c>
      <c r="C39" s="33">
        <f>'ожидаемое 2019'!J132</f>
        <v>1</v>
      </c>
      <c r="D39" s="28" t="str">
        <f>IF(C39&lt;90%,"&lt;90%",IF(C39&lt;100%,"90%-100%","100% и&gt;"))</f>
        <v>100% и&gt;</v>
      </c>
      <c r="E39" s="28" t="str">
        <f>IF(D39="&lt;90%","не выполнено",IF(D39="90%-100%","в целом выполнено","выполнено"))</f>
        <v>выполнено</v>
      </c>
      <c r="F39" s="33">
        <f>'ожидаемое 2019'!J138</f>
        <v>1</v>
      </c>
      <c r="G39" s="28" t="str">
        <f>IF(F39&lt;90%,"&lt;90%",IF(F39&lt;100%,"90%-100%","100% и&gt;"))</f>
        <v>100% и&gt;</v>
      </c>
      <c r="H39" s="28" t="str">
        <f>IF(G39="&lt;90%","не выполнено",IF(G39="90%-100%","в целом выполнено","выполнено"))</f>
        <v>выполнено</v>
      </c>
      <c r="I39" s="33">
        <f>'ожидаемое 2019'!K132</f>
        <v>1</v>
      </c>
      <c r="J39" s="28" t="str">
        <f>IF(I39&lt;90%,"&lt;90%",IF(I39&lt;100%,"90%-100%","100% и&gt;"))</f>
        <v>100% и&gt;</v>
      </c>
      <c r="K39" s="28" t="str">
        <f>IF(J39="&lt;90%","не выполнено",IF(J39="90%-100%","в целом выполнено","выполнено"))</f>
        <v>выполнено</v>
      </c>
    </row>
    <row r="40" spans="1:11" s="44" customFormat="1" ht="13.2" x14ac:dyDescent="0.3">
      <c r="A40" s="32" t="s">
        <v>88</v>
      </c>
      <c r="B40" s="34" t="s">
        <v>114</v>
      </c>
      <c r="C40" s="33">
        <f>'ожидаемое 2019'!J139</f>
        <v>1</v>
      </c>
      <c r="D40" s="28" t="str">
        <f>IF(C40&lt;90%,"&lt;90%",IF(C40&lt;100%,"90%-100%","100% и&gt;"))</f>
        <v>100% и&gt;</v>
      </c>
      <c r="E40" s="28" t="str">
        <f>IF(D40="&lt;90%","не выполнено",IF(D40="90%-100%","в целом выполнено","выполнено"))</f>
        <v>выполнено</v>
      </c>
      <c r="F40" s="33">
        <f>'ожидаемое 2019'!J143</f>
        <v>1</v>
      </c>
      <c r="G40" s="28" t="str">
        <f>IF(F40&lt;90%,"&lt;90%",IF(F40&lt;100%,"90%-100%","100% и&gt;"))</f>
        <v>100% и&gt;</v>
      </c>
      <c r="H40" s="28" t="str">
        <f>IF(G40="&lt;90%","не выполнено",IF(G40="90%-100%","в целом выполнено","выполнено"))</f>
        <v>выполнено</v>
      </c>
      <c r="I40" s="33">
        <f>'ожидаемое 2019'!K139</f>
        <v>1</v>
      </c>
      <c r="J40" s="28" t="str">
        <f>IF(I40&lt;90%,"&lt;90%",IF(I40&lt;100%,"90%-100%","100% и&gt;"))</f>
        <v>100% и&gt;</v>
      </c>
      <c r="K40" s="28" t="str">
        <f>IF(J40="&lt;90%","не выполнено",IF(J40="90%-100%","в целом выполнено","выполнено"))</f>
        <v>выполнено</v>
      </c>
    </row>
    <row r="41" spans="1:11" s="44" customFormat="1" ht="13.2" hidden="1" x14ac:dyDescent="0.3">
      <c r="A41" s="32" t="s">
        <v>89</v>
      </c>
      <c r="B41" s="34" t="s">
        <v>71</v>
      </c>
      <c r="C41" s="33"/>
      <c r="D41" s="28"/>
      <c r="E41" s="28"/>
      <c r="F41" s="33"/>
      <c r="G41" s="28"/>
      <c r="H41" s="28"/>
      <c r="I41" s="33"/>
      <c r="J41" s="28"/>
      <c r="K41" s="28"/>
    </row>
    <row r="42" spans="1:11" s="42" customFormat="1" ht="15.6" x14ac:dyDescent="0.3">
      <c r="A42" s="25" t="s">
        <v>90</v>
      </c>
      <c r="B42" s="26" t="s">
        <v>23</v>
      </c>
      <c r="C42" s="27">
        <f>MIN(C44:C45)</f>
        <v>1</v>
      </c>
      <c r="D42" s="28" t="str">
        <f>IF(C42&lt;90%,"&lt;90%",IF(C42&lt;100%,"90%-100%","100% и&gt;"))</f>
        <v>100% и&gt;</v>
      </c>
      <c r="E42" s="28" t="str">
        <f>IF(D42="&lt;90%","не выполнено",IF(D42="90%-100%","в целом выполнено","выполнено"))</f>
        <v>выполнено</v>
      </c>
      <c r="F42" s="27">
        <f>MIN(F44:F45)</f>
        <v>1</v>
      </c>
      <c r="G42" s="28" t="str">
        <f>IF(F42&lt;90%,"&lt;90%",IF(F42&lt;100%,"90%-100%","100% и&gt;"))</f>
        <v>100% и&gt;</v>
      </c>
      <c r="H42" s="28" t="str">
        <f>IF(G42="&lt;90%","не выполнено",IF(G42="90%-100%","в целом выполнено","выполнено"))</f>
        <v>выполнено</v>
      </c>
      <c r="I42" s="27">
        <f>MIN(I44:I45)</f>
        <v>1</v>
      </c>
      <c r="J42" s="28" t="str">
        <f>IF(I42&lt;90%,"&lt;90%",IF(I42&lt;100%,"90%-100%","100% и&gt;"))</f>
        <v>100% и&gt;</v>
      </c>
      <c r="K42" s="28" t="str">
        <f>IF(J42="&lt;90%","не выполнено",IF(J42="90%-100%","в целом выполнено","выполнено"))</f>
        <v>выполнено</v>
      </c>
    </row>
    <row r="43" spans="1:11" s="43" customFormat="1" ht="11.25" customHeight="1" x14ac:dyDescent="0.3">
      <c r="A43" s="29"/>
      <c r="B43" s="47" t="s">
        <v>61</v>
      </c>
      <c r="C43" s="30"/>
      <c r="D43" s="31"/>
      <c r="E43" s="31"/>
      <c r="F43" s="30"/>
      <c r="G43" s="31"/>
      <c r="H43" s="31"/>
      <c r="I43" s="30"/>
      <c r="J43" s="31"/>
      <c r="K43" s="31"/>
    </row>
    <row r="44" spans="1:11" s="44" customFormat="1" ht="13.2" x14ac:dyDescent="0.3">
      <c r="A44" s="32" t="s">
        <v>91</v>
      </c>
      <c r="B44" s="34" t="s">
        <v>113</v>
      </c>
      <c r="C44" s="33">
        <f>'ожидаемое 2019'!J144</f>
        <v>1</v>
      </c>
      <c r="D44" s="28" t="str">
        <f>IF(C44&lt;90%,"&lt;90%",IF(C44&lt;100%,"90%-100%","100% и&gt;"))</f>
        <v>100% и&gt;</v>
      </c>
      <c r="E44" s="28" t="str">
        <f>IF(D44="&lt;90%","не выполнено",IF(D44="90%-100%","в целом выполнено","выполнено"))</f>
        <v>выполнено</v>
      </c>
      <c r="F44" s="33">
        <f>'ожидаемое 2019'!J150</f>
        <v>1</v>
      </c>
      <c r="G44" s="28" t="str">
        <f>IF(F44&lt;90%,"&lt;90%",IF(F44&lt;100%,"90%-100%","100% и&gt;"))</f>
        <v>100% и&gt;</v>
      </c>
      <c r="H44" s="28" t="str">
        <f>IF(G44="&lt;90%","не выполнено",IF(G44="90%-100%","в целом выполнено","выполнено"))</f>
        <v>выполнено</v>
      </c>
      <c r="I44" s="33">
        <f>'ожидаемое 2019'!K144</f>
        <v>1</v>
      </c>
      <c r="J44" s="28" t="str">
        <f>IF(I44&lt;90%,"&lt;90%",IF(I44&lt;100%,"90%-100%","100% и&gt;"))</f>
        <v>100% и&gt;</v>
      </c>
      <c r="K44" s="28" t="str">
        <f>IF(J44="&lt;90%","не выполнено",IF(J44="90%-100%","в целом выполнено","выполнено"))</f>
        <v>выполнено</v>
      </c>
    </row>
    <row r="45" spans="1:11" s="44" customFormat="1" ht="13.2" x14ac:dyDescent="0.3">
      <c r="A45" s="32" t="s">
        <v>92</v>
      </c>
      <c r="B45" s="34" t="s">
        <v>114</v>
      </c>
      <c r="C45" s="33">
        <f>'ожидаемое 2019'!J151</f>
        <v>1</v>
      </c>
      <c r="D45" s="28" t="str">
        <f>IF(C45&lt;90%,"&lt;90%",IF(C45&lt;100%,"90%-100%","100% и&gt;"))</f>
        <v>100% и&gt;</v>
      </c>
      <c r="E45" s="28" t="str">
        <f>IF(D45="&lt;90%","не выполнено",IF(D45="90%-100%","в целом выполнено","выполнено"))</f>
        <v>выполнено</v>
      </c>
      <c r="F45" s="33">
        <f>'ожидаемое 2019'!J155</f>
        <v>1</v>
      </c>
      <c r="G45" s="28" t="str">
        <f>IF(F45&lt;90%,"&lt;90%",IF(F45&lt;100%,"90%-100%","100% и&gt;"))</f>
        <v>100% и&gt;</v>
      </c>
      <c r="H45" s="28" t="str">
        <f>IF(G45="&lt;90%","не выполнено",IF(G45="90%-100%","в целом выполнено","выполнено"))</f>
        <v>выполнено</v>
      </c>
      <c r="I45" s="33">
        <f>'ожидаемое 2019'!K151</f>
        <v>1</v>
      </c>
      <c r="J45" s="28" t="str">
        <f>IF(I45&lt;90%,"&lt;90%",IF(I45&lt;100%,"90%-100%","100% и&gt;"))</f>
        <v>100% и&gt;</v>
      </c>
      <c r="K45" s="28" t="str">
        <f>IF(J45="&lt;90%","не выполнено",IF(J45="90%-100%","в целом выполнено","выполнено"))</f>
        <v>выполнено</v>
      </c>
    </row>
    <row r="46" spans="1:11" s="44" customFormat="1" ht="13.2" hidden="1" x14ac:dyDescent="0.3">
      <c r="A46" s="32" t="s">
        <v>93</v>
      </c>
      <c r="B46" s="34" t="s">
        <v>71</v>
      </c>
      <c r="C46" s="33"/>
      <c r="D46" s="28"/>
      <c r="E46" s="28"/>
      <c r="F46" s="33"/>
      <c r="G46" s="28"/>
      <c r="H46" s="28"/>
      <c r="I46" s="33"/>
      <c r="J46" s="28"/>
      <c r="K46" s="28"/>
    </row>
    <row r="47" spans="1:11" s="42" customFormat="1" ht="15.6" x14ac:dyDescent="0.3">
      <c r="A47" s="25" t="s">
        <v>94</v>
      </c>
      <c r="B47" s="26" t="s">
        <v>22</v>
      </c>
      <c r="C47" s="27">
        <f>MIN(C49:C50)</f>
        <v>1</v>
      </c>
      <c r="D47" s="28" t="str">
        <f>IF(C47&lt;90%,"&lt;90%",IF(C47&lt;100%,"90%-100%","100% и&gt;"))</f>
        <v>100% и&gt;</v>
      </c>
      <c r="E47" s="28" t="str">
        <f>IF(D47="&lt;90%","не выполнено",IF(D47="90%-100%","в целом выполнено","выполнено"))</f>
        <v>выполнено</v>
      </c>
      <c r="F47" s="27">
        <f>MIN(F49:F50)</f>
        <v>1</v>
      </c>
      <c r="G47" s="28" t="str">
        <f>IF(F47&lt;90%,"&lt;90%",IF(F47&lt;100%,"90%-100%","100% и&gt;"))</f>
        <v>100% и&gt;</v>
      </c>
      <c r="H47" s="28" t="str">
        <f>IF(G47="&lt;90%","не выполнено",IF(G47="90%-100%","в целом выполнено","выполнено"))</f>
        <v>выполнено</v>
      </c>
      <c r="I47" s="27">
        <f>MIN(I49:I50)</f>
        <v>1</v>
      </c>
      <c r="J47" s="28" t="str">
        <f>IF(I47&lt;90%,"&lt;90%",IF(I47&lt;100%,"90%-100%","100% и&gt;"))</f>
        <v>100% и&gt;</v>
      </c>
      <c r="K47" s="28" t="str">
        <f>IF(J47="&lt;90%","не выполнено",IF(J47="90%-100%","в целом выполнено","выполнено"))</f>
        <v>выполнено</v>
      </c>
    </row>
    <row r="48" spans="1:11" s="43" customFormat="1" ht="11.25" customHeight="1" x14ac:dyDescent="0.3">
      <c r="A48" s="29"/>
      <c r="B48" s="47" t="s">
        <v>61</v>
      </c>
      <c r="C48" s="30"/>
      <c r="D48" s="31"/>
      <c r="E48" s="31"/>
      <c r="F48" s="30"/>
      <c r="G48" s="31"/>
      <c r="H48" s="31"/>
      <c r="I48" s="30"/>
      <c r="J48" s="31"/>
      <c r="K48" s="31"/>
    </row>
    <row r="49" spans="1:11" s="44" customFormat="1" ht="13.2" x14ac:dyDescent="0.3">
      <c r="A49" s="32" t="s">
        <v>95</v>
      </c>
      <c r="B49" s="34" t="s">
        <v>113</v>
      </c>
      <c r="C49" s="33">
        <f>'ожидаемое 2019'!J156</f>
        <v>1</v>
      </c>
      <c r="D49" s="28" t="str">
        <f>IF(C49&lt;90%,"&lt;90%",IF(C49&lt;100%,"90%-100%","100% и&gt;"))</f>
        <v>100% и&gt;</v>
      </c>
      <c r="E49" s="28" t="str">
        <f>IF(D49="&lt;90%","не выполнено",IF(D49="90%-100%","в целом выполнено","выполнено"))</f>
        <v>выполнено</v>
      </c>
      <c r="F49" s="33">
        <f>'ожидаемое 2019'!J162</f>
        <v>1</v>
      </c>
      <c r="G49" s="28" t="str">
        <f>IF(F49&lt;90%,"&lt;90%",IF(F49&lt;100%,"90%-100%","100% и&gt;"))</f>
        <v>100% и&gt;</v>
      </c>
      <c r="H49" s="28" t="str">
        <f>IF(G49="&lt;90%","не выполнено",IF(G49="90%-100%","в целом выполнено","выполнено"))</f>
        <v>выполнено</v>
      </c>
      <c r="I49" s="33">
        <f>'ожидаемое 2019'!K156</f>
        <v>1</v>
      </c>
      <c r="J49" s="28" t="str">
        <f>IF(I49&lt;90%,"&lt;90%",IF(I49&lt;100%,"90%-100%","100% и&gt;"))</f>
        <v>100% и&gt;</v>
      </c>
      <c r="K49" s="28" t="str">
        <f>IF(J49="&lt;90%","не выполнено",IF(J49="90%-100%","в целом выполнено","выполнено"))</f>
        <v>выполнено</v>
      </c>
    </row>
    <row r="50" spans="1:11" s="44" customFormat="1" ht="13.2" x14ac:dyDescent="0.3">
      <c r="A50" s="32" t="s">
        <v>96</v>
      </c>
      <c r="B50" s="34" t="s">
        <v>114</v>
      </c>
      <c r="C50" s="33">
        <f>'ожидаемое 2019'!J163</f>
        <v>1</v>
      </c>
      <c r="D50" s="28" t="str">
        <f>IF(C50&lt;90%,"&lt;90%",IF(C50&lt;100%,"90%-100%","100% и&gt;"))</f>
        <v>100% и&gt;</v>
      </c>
      <c r="E50" s="28" t="str">
        <f>IF(D50="&lt;90%","не выполнено",IF(D50="90%-100%","в целом выполнено","выполнено"))</f>
        <v>выполнено</v>
      </c>
      <c r="F50" s="33">
        <f>'ожидаемое 2019'!J167</f>
        <v>1</v>
      </c>
      <c r="G50" s="28" t="str">
        <f>IF(F50&lt;90%,"&lt;90%",IF(F50&lt;100%,"90%-100%","100% и&gt;"))</f>
        <v>100% и&gt;</v>
      </c>
      <c r="H50" s="28" t="str">
        <f>IF(G50="&lt;90%","не выполнено",IF(G50="90%-100%","в целом выполнено","выполнено"))</f>
        <v>выполнено</v>
      </c>
      <c r="I50" s="33">
        <f>'ожидаемое 2019'!K163</f>
        <v>1</v>
      </c>
      <c r="J50" s="28" t="str">
        <f>IF(I50&lt;90%,"&lt;90%",IF(I50&lt;100%,"90%-100%","100% и&gt;"))</f>
        <v>100% и&gt;</v>
      </c>
      <c r="K50" s="28" t="str">
        <f>IF(J50="&lt;90%","не выполнено",IF(J50="90%-100%","в целом выполнено","выполнено"))</f>
        <v>выполнено</v>
      </c>
    </row>
    <row r="51" spans="1:11" s="44" customFormat="1" ht="13.2" hidden="1" x14ac:dyDescent="0.3">
      <c r="A51" s="32" t="s">
        <v>97</v>
      </c>
      <c r="B51" s="34" t="s">
        <v>71</v>
      </c>
      <c r="C51" s="33"/>
      <c r="D51" s="28"/>
      <c r="E51" s="28"/>
      <c r="F51" s="33"/>
      <c r="G51" s="28"/>
      <c r="H51" s="28"/>
      <c r="I51" s="33"/>
      <c r="J51" s="28"/>
      <c r="K51" s="28"/>
    </row>
    <row r="52" spans="1:11" s="42" customFormat="1" ht="15.6" x14ac:dyDescent="0.3">
      <c r="A52" s="25" t="s">
        <v>98</v>
      </c>
      <c r="B52" s="26" t="s">
        <v>20</v>
      </c>
      <c r="C52" s="27">
        <f t="shared" ref="C52:J52" si="0">C54</f>
        <v>1</v>
      </c>
      <c r="D52" s="28" t="str">
        <f t="shared" si="0"/>
        <v>100% и&gt;</v>
      </c>
      <c r="E52" s="28" t="str">
        <f>IF(D52="&lt;90%","не выполнено",IF(D52="90%-100%","в целом выполнено","выполнено"))</f>
        <v>выполнено</v>
      </c>
      <c r="F52" s="27">
        <f t="shared" si="0"/>
        <v>1</v>
      </c>
      <c r="G52" s="28" t="str">
        <f>G54</f>
        <v>100% и&gt;</v>
      </c>
      <c r="H52" s="28" t="str">
        <f>IF(G52="&lt;90%","не выполнено",IF(G52="90%-100%","в целом выполнено","выполнено"))</f>
        <v>выполнено</v>
      </c>
      <c r="I52" s="27">
        <f t="shared" si="0"/>
        <v>1</v>
      </c>
      <c r="J52" s="28" t="str">
        <f t="shared" si="0"/>
        <v>100% и&gt;</v>
      </c>
      <c r="K52" s="28" t="str">
        <f>IF(J52="&lt;90%","не выполнено",IF(J52="90%-100%","в целом выполнено","выполнено"))</f>
        <v>выполнено</v>
      </c>
    </row>
    <row r="53" spans="1:11" s="43" customFormat="1" ht="11.25" customHeight="1" x14ac:dyDescent="0.3">
      <c r="A53" s="29"/>
      <c r="B53" s="47" t="s">
        <v>61</v>
      </c>
      <c r="C53" s="30"/>
      <c r="D53" s="31"/>
      <c r="E53" s="31"/>
      <c r="F53" s="30"/>
      <c r="G53" s="31"/>
      <c r="H53" s="31"/>
      <c r="I53" s="30"/>
      <c r="J53" s="31"/>
      <c r="K53" s="31"/>
    </row>
    <row r="54" spans="1:11" s="44" customFormat="1" ht="13.2" x14ac:dyDescent="0.3">
      <c r="A54" s="32" t="s">
        <v>99</v>
      </c>
      <c r="B54" s="34" t="s">
        <v>113</v>
      </c>
      <c r="C54" s="33">
        <f>'ожидаемое 2019'!J34</f>
        <v>1</v>
      </c>
      <c r="D54" s="28" t="str">
        <f>IF(C54&lt;90%,"&lt;90%",IF(C54&lt;100%,"90%-100%","100% и&gt;"))</f>
        <v>100% и&gt;</v>
      </c>
      <c r="E54" s="28" t="str">
        <f>IF(D54="&lt;90%","не выполнено",IF(D54="90%-100%","в целом выполнено","выполнено"))</f>
        <v>выполнено</v>
      </c>
      <c r="F54" s="33">
        <f>'ожидаемое 2019'!J40</f>
        <v>1</v>
      </c>
      <c r="G54" s="28" t="str">
        <f>IF(F54&lt;90%,"&lt;90%",IF(F54&lt;100%,"90%-100%","100% и&gt;"))</f>
        <v>100% и&gt;</v>
      </c>
      <c r="H54" s="28" t="str">
        <f>IF(G54="&lt;90%","не выполнено",IF(G54="90%-100%","в целом выполнено","выполнено"))</f>
        <v>выполнено</v>
      </c>
      <c r="I54" s="33">
        <f>'ожидаемое 2019'!K34</f>
        <v>1</v>
      </c>
      <c r="J54" s="28" t="str">
        <f>IF(I54&lt;90%,"&lt;90%",IF(I54&lt;100%,"90%-100%","100% и&gt;"))</f>
        <v>100% и&gt;</v>
      </c>
      <c r="K54" s="28" t="str">
        <f>IF(J54="&lt;90%","не выполнено",IF(J54="90%-100%","в целом выполнено","выполнено"))</f>
        <v>выполнено</v>
      </c>
    </row>
    <row r="55" spans="1:11" s="44" customFormat="1" ht="13.2" hidden="1" x14ac:dyDescent="0.3">
      <c r="A55" s="32" t="s">
        <v>100</v>
      </c>
      <c r="B55" s="34" t="s">
        <v>69</v>
      </c>
      <c r="C55" s="33"/>
      <c r="D55" s="28"/>
      <c r="E55" s="28"/>
      <c r="F55" s="33"/>
      <c r="G55" s="28"/>
      <c r="H55" s="28"/>
      <c r="I55" s="33"/>
      <c r="J55" s="28"/>
      <c r="K55" s="28"/>
    </row>
    <row r="56" spans="1:11" s="44" customFormat="1" ht="13.2" hidden="1" x14ac:dyDescent="0.3">
      <c r="A56" s="32" t="s">
        <v>101</v>
      </c>
      <c r="B56" s="34" t="s">
        <v>71</v>
      </c>
      <c r="C56" s="33"/>
      <c r="D56" s="28"/>
      <c r="E56" s="28"/>
      <c r="F56" s="33"/>
      <c r="G56" s="28"/>
      <c r="H56" s="28"/>
      <c r="I56" s="33"/>
      <c r="J56" s="28"/>
      <c r="K56" s="28"/>
    </row>
    <row r="57" spans="1:11" s="42" customFormat="1" ht="15.6" x14ac:dyDescent="0.3">
      <c r="A57" s="25" t="s">
        <v>102</v>
      </c>
      <c r="B57" s="26" t="s">
        <v>21</v>
      </c>
      <c r="C57" s="27">
        <f>MIN(C59:C60)</f>
        <v>1</v>
      </c>
      <c r="D57" s="28" t="str">
        <f>D59</f>
        <v>100% и&gt;</v>
      </c>
      <c r="E57" s="28" t="str">
        <f>IF(D57="&lt;90%","не выполнено",IF(D57="90%-100%","в целом выполнено","выполнено"))</f>
        <v>выполнено</v>
      </c>
      <c r="F57" s="27">
        <f>F59</f>
        <v>1</v>
      </c>
      <c r="G57" s="28" t="str">
        <f>G59</f>
        <v>100% и&gt;</v>
      </c>
      <c r="H57" s="28" t="str">
        <f>IF(G57="&lt;90%","не выполнено",IF(G57="90%-100%","в целом выполнено","выполнено"))</f>
        <v>выполнено</v>
      </c>
      <c r="I57" s="27">
        <f>MIN(I59:I60)</f>
        <v>1</v>
      </c>
      <c r="J57" s="28" t="str">
        <f>IF(I57&lt;90%,"&lt;90%",IF(I57&lt;100%,"90%-100%","100% и&gt;"))</f>
        <v>100% и&gt;</v>
      </c>
      <c r="K57" s="28" t="str">
        <f>IF(J57="&lt;90%","не выполнено",IF(J57="90%-100%","в целом выполнено","выполнено"))</f>
        <v>выполнено</v>
      </c>
    </row>
    <row r="58" spans="1:11" s="43" customFormat="1" ht="11.25" customHeight="1" x14ac:dyDescent="0.3">
      <c r="A58" s="29"/>
      <c r="B58" s="47" t="s">
        <v>61</v>
      </c>
      <c r="C58" s="30"/>
      <c r="D58" s="31"/>
      <c r="E58" s="31"/>
      <c r="F58" s="30"/>
      <c r="G58" s="31"/>
      <c r="H58" s="31"/>
      <c r="I58" s="30"/>
      <c r="J58" s="31"/>
      <c r="K58" s="31"/>
    </row>
    <row r="59" spans="1:11" s="44" customFormat="1" ht="13.2" x14ac:dyDescent="0.3">
      <c r="A59" s="32" t="s">
        <v>103</v>
      </c>
      <c r="B59" s="34" t="s">
        <v>113</v>
      </c>
      <c r="C59" s="33">
        <f>'ожидаемое 2019'!J41</f>
        <v>1</v>
      </c>
      <c r="D59" s="28" t="str">
        <f>IF(C59&lt;90%,"&lt;90%",IF(C59&lt;100%,"90%-100%","100% и&gt;"))</f>
        <v>100% и&gt;</v>
      </c>
      <c r="E59" s="28" t="str">
        <f>IF(D59="&lt;90%","не выполнено",IF(D59="90%-100%","в целом выполнено","выполнено"))</f>
        <v>выполнено</v>
      </c>
      <c r="F59" s="33">
        <f>'ожидаемое 2019'!J47</f>
        <v>1</v>
      </c>
      <c r="G59" s="28" t="str">
        <f>IF(F59&lt;90%,"&lt;90%",IF(F59&lt;100%,"90%-100%","100% и&gt;"))</f>
        <v>100% и&gt;</v>
      </c>
      <c r="H59" s="28" t="str">
        <f>IF(G59="&lt;90%","не выполнено",IF(G59="90%-100%","в целом выполнено","выполнено"))</f>
        <v>выполнено</v>
      </c>
      <c r="I59" s="33">
        <f>'ожидаемое 2019'!K41</f>
        <v>1</v>
      </c>
      <c r="J59" s="28" t="str">
        <f>IF(I59&lt;90%,"&lt;90%",IF(I59&lt;100%,"90%-100%","100% и&gt;"))</f>
        <v>100% и&gt;</v>
      </c>
      <c r="K59" s="28" t="str">
        <f>IF(J59="&lt;90%","не выполнено",IF(J59="90%-100%","в целом выполнено","выполнено"))</f>
        <v>выполнено</v>
      </c>
    </row>
    <row r="60" spans="1:11" s="44" customFormat="1" ht="13.2" x14ac:dyDescent="0.3">
      <c r="A60" s="32" t="s">
        <v>165</v>
      </c>
      <c r="B60" s="34" t="s">
        <v>114</v>
      </c>
      <c r="C60" s="33">
        <f>'ожидаемое 2019'!J48</f>
        <v>1</v>
      </c>
      <c r="D60" s="28" t="str">
        <f>IF(C60&lt;90%,"&lt;90%",IF(C60&lt;100%,"90%-100%","100% и&gt;"))</f>
        <v>100% и&gt;</v>
      </c>
      <c r="E60" s="28" t="str">
        <f>IF(D60="&lt;90%","не выполнено",IF(D60="90%-100%","в целом выполнено","выполнено"))</f>
        <v>выполнено</v>
      </c>
      <c r="F60" s="33">
        <f>'ожидаемое 2019'!J52</f>
        <v>1</v>
      </c>
      <c r="G60" s="28" t="str">
        <f>IF(F60&lt;90%,"&lt;90%",IF(F60&lt;100%,"90%-100%","100% и&gt;"))</f>
        <v>100% и&gt;</v>
      </c>
      <c r="H60" s="28" t="str">
        <f>IF(G60="&lt;90%","не выполнено",IF(G60="90%-100%","в целом выполнено","выполнено"))</f>
        <v>выполнено</v>
      </c>
      <c r="I60" s="33">
        <f>'ожидаемое 2019'!K48</f>
        <v>1</v>
      </c>
      <c r="J60" s="28" t="str">
        <f>IF(I60&lt;90%,"&lt;90%",IF(I60&lt;100%,"90%-100%","100% и&gt;"))</f>
        <v>100% и&gt;</v>
      </c>
      <c r="K60" s="28" t="str">
        <f>IF(J60="&lt;90%","не выполнено",IF(J60="90%-100%","в целом выполнено","выполнено"))</f>
        <v>выполнено</v>
      </c>
    </row>
    <row r="61" spans="1:11" s="42" customFormat="1" ht="15.6" x14ac:dyDescent="0.3">
      <c r="A61" s="25" t="s">
        <v>104</v>
      </c>
      <c r="B61" s="26" t="s">
        <v>29</v>
      </c>
      <c r="C61" s="27">
        <f>MIN(C63:C64)</f>
        <v>1</v>
      </c>
      <c r="D61" s="28" t="str">
        <f>IF(C61&lt;90%,"&lt;90%",IF(C61&lt;100%,"90%-100%","100% и&gt;"))</f>
        <v>100% и&gt;</v>
      </c>
      <c r="E61" s="28" t="str">
        <f>IF(D61="&lt;90%","не выполнено",IF(D61="90%-100%","в целом выполнено","выполнено"))</f>
        <v>выполнено</v>
      </c>
      <c r="F61" s="27">
        <f>MIN(F63:F64)</f>
        <v>1</v>
      </c>
      <c r="G61" s="28" t="str">
        <f>IF(F61&lt;90%,"&lt;90%",IF(F61&lt;100%,"90%-100%","100% и&gt;"))</f>
        <v>100% и&gt;</v>
      </c>
      <c r="H61" s="28" t="str">
        <f>IF(G61="&lt;90%","не выполнено",IF(G61="90%-100%","в целом выполнено","выполнено"))</f>
        <v>выполнено</v>
      </c>
      <c r="I61" s="27">
        <f>MIN(I63:I64)</f>
        <v>1</v>
      </c>
      <c r="J61" s="28" t="str">
        <f>IF(I61&lt;90%,"&lt;90%",IF(I61&lt;100%,"90%-100%","100% и&gt;"))</f>
        <v>100% и&gt;</v>
      </c>
      <c r="K61" s="28" t="str">
        <f>IF(J61="&lt;90%","не выполнено",IF(J61="90%-100%","в целом выполнено","выполнено"))</f>
        <v>выполнено</v>
      </c>
    </row>
    <row r="62" spans="1:11" s="43" customFormat="1" ht="11.25" customHeight="1" x14ac:dyDescent="0.3">
      <c r="A62" s="29"/>
      <c r="B62" s="47" t="s">
        <v>61</v>
      </c>
      <c r="C62" s="30"/>
      <c r="D62" s="31"/>
      <c r="E62" s="31"/>
      <c r="F62" s="30"/>
      <c r="G62" s="31"/>
      <c r="H62" s="31"/>
      <c r="I62" s="30"/>
      <c r="J62" s="31"/>
      <c r="K62" s="31"/>
    </row>
    <row r="63" spans="1:11" s="44" customFormat="1" ht="13.2" x14ac:dyDescent="0.3">
      <c r="A63" s="32" t="s">
        <v>105</v>
      </c>
      <c r="B63" s="34" t="s">
        <v>113</v>
      </c>
      <c r="C63" s="33">
        <f>'ожидаемое 2019'!J60</f>
        <v>1</v>
      </c>
      <c r="D63" s="28" t="str">
        <f>IF(C63&lt;90%,"&lt;90%",IF(C63&lt;100%,"90%-100%","100% и&gt;"))</f>
        <v>100% и&gt;</v>
      </c>
      <c r="E63" s="28" t="str">
        <f>IF(D63="&lt;90%","не выполнено",IF(D63="90%-100%","в целом выполнено","выполнено"))</f>
        <v>выполнено</v>
      </c>
      <c r="F63" s="33">
        <f>'ожидаемое 2019'!J66</f>
        <v>1</v>
      </c>
      <c r="G63" s="28" t="str">
        <f>IF(F63&lt;90%,"&lt;90%",IF(F63&lt;100%,"90%-100%","100% и&gt;"))</f>
        <v>100% и&gt;</v>
      </c>
      <c r="H63" s="28" t="str">
        <f>IF(G63="&lt;90%","не выполнено",IF(G63="90%-100%","в целом выполнено","выполнено"))</f>
        <v>выполнено</v>
      </c>
      <c r="I63" s="33">
        <f>'ожидаемое 2019'!K60</f>
        <v>1</v>
      </c>
      <c r="J63" s="28" t="str">
        <f>IF(I63&lt;90%,"&lt;90%",IF(I63&lt;100%,"90%-100%","100% и&gt;"))</f>
        <v>100% и&gt;</v>
      </c>
      <c r="K63" s="28" t="str">
        <f>IF(J63="&lt;90%","не выполнено",IF(J63="90%-100%","в целом выполнено","выполнено"))</f>
        <v>выполнено</v>
      </c>
    </row>
    <row r="64" spans="1:11" s="44" customFormat="1" ht="13.2" x14ac:dyDescent="0.3">
      <c r="A64" s="32" t="s">
        <v>106</v>
      </c>
      <c r="B64" s="34" t="s">
        <v>69</v>
      </c>
      <c r="C64" s="33">
        <f>'ожидаемое 2019'!J67</f>
        <v>1</v>
      </c>
      <c r="D64" s="28" t="str">
        <f>IF(C64&lt;90%,"&lt;90%",IF(C64&lt;100%,"90%-100%","100% и&gt;"))</f>
        <v>100% и&gt;</v>
      </c>
      <c r="E64" s="28" t="str">
        <f>IF(D64="&lt;90%","не выполнено",IF(D64="90%-100%","в целом выполнено","выполнено"))</f>
        <v>выполнено</v>
      </c>
      <c r="F64" s="33">
        <f>'ожидаемое 2019'!J71</f>
        <v>1</v>
      </c>
      <c r="G64" s="28" t="str">
        <f>IF(F64&lt;90%,"&lt;90%",IF(F64&lt;100%,"90%-100%","100% и&gt;"))</f>
        <v>100% и&gt;</v>
      </c>
      <c r="H64" s="28" t="str">
        <f>IF(G64="&lt;90%","не выполнено",IF(G64="90%-100%","в целом выполнено","выполнено"))</f>
        <v>выполнено</v>
      </c>
      <c r="I64" s="33">
        <f>'ожидаемое 2019'!K67</f>
        <v>1</v>
      </c>
      <c r="J64" s="28" t="str">
        <f>IF(I64&lt;90%,"&lt;90%",IF(I64&lt;100%,"90%-100%","100% и&gt;"))</f>
        <v>100% и&gt;</v>
      </c>
      <c r="K64" s="28" t="str">
        <f>IF(J64="&lt;90%","не выполнено",IF(J64="90%-100%","в целом выполнено","выполнено"))</f>
        <v>выполнено</v>
      </c>
    </row>
    <row r="65" spans="1:11" s="44" customFormat="1" ht="13.2" hidden="1" x14ac:dyDescent="0.3">
      <c r="A65" s="32" t="s">
        <v>107</v>
      </c>
      <c r="B65" s="34" t="s">
        <v>71</v>
      </c>
      <c r="C65" s="33"/>
      <c r="D65" s="28"/>
      <c r="E65" s="28"/>
      <c r="F65" s="33"/>
      <c r="G65" s="28" t="str">
        <f>IF(F65&lt;90%,"&lt;90%",IF(F65&lt;100%,"90%-100%","100% и&gt;"))</f>
        <v>&lt;90%</v>
      </c>
      <c r="H65" s="28" t="str">
        <f>IF(G65="&lt;90%","не выполнено",IF(G65="90%-100%","в целом выполнено","выполнено"))</f>
        <v>не выполнено</v>
      </c>
      <c r="I65" s="33"/>
      <c r="J65" s="28"/>
      <c r="K65" s="28"/>
    </row>
    <row r="66" spans="1:11" s="42" customFormat="1" ht="15.6" x14ac:dyDescent="0.3">
      <c r="A66" s="25" t="s">
        <v>108</v>
      </c>
      <c r="B66" s="26" t="s">
        <v>30</v>
      </c>
      <c r="C66" s="27">
        <f t="shared" ref="C66:J66" si="1">C68</f>
        <v>1</v>
      </c>
      <c r="D66" s="28" t="str">
        <f t="shared" si="1"/>
        <v>100% и&gt;</v>
      </c>
      <c r="E66" s="28" t="str">
        <f>IF(D66="&lt;90%","не выполнено",IF(D66="90%-100%","в целом выполнено","выполнено"))</f>
        <v>выполнено</v>
      </c>
      <c r="F66" s="27">
        <f t="shared" si="1"/>
        <v>1</v>
      </c>
      <c r="G66" s="28" t="str">
        <f>G68</f>
        <v>100% и&gt;</v>
      </c>
      <c r="H66" s="28" t="str">
        <f>IF(G66="&lt;90%","не выполнено",IF(G66="90%-100%","в целом выполнено","выполнено"))</f>
        <v>выполнено</v>
      </c>
      <c r="I66" s="27">
        <f t="shared" si="1"/>
        <v>1</v>
      </c>
      <c r="J66" s="28" t="str">
        <f t="shared" si="1"/>
        <v>100% и&gt;</v>
      </c>
      <c r="K66" s="28" t="str">
        <f>IF(J66="&lt;90%","не выполнено",IF(J66="90%-100%","в целом выполнено","выполнено"))</f>
        <v>выполнено</v>
      </c>
    </row>
    <row r="67" spans="1:11" s="43" customFormat="1" ht="11.25" customHeight="1" x14ac:dyDescent="0.3">
      <c r="A67" s="29"/>
      <c r="B67" s="47" t="s">
        <v>61</v>
      </c>
      <c r="C67" s="30"/>
      <c r="D67" s="31"/>
      <c r="E67" s="31"/>
      <c r="F67" s="30"/>
      <c r="G67" s="31"/>
      <c r="H67" s="31"/>
      <c r="I67" s="30"/>
      <c r="J67" s="31"/>
      <c r="K67" s="31"/>
    </row>
    <row r="68" spans="1:11" s="44" customFormat="1" ht="13.2" x14ac:dyDescent="0.3">
      <c r="A68" s="32" t="s">
        <v>109</v>
      </c>
      <c r="B68" s="34" t="s">
        <v>113</v>
      </c>
      <c r="C68" s="33">
        <f>'ожидаемое 2019'!J53</f>
        <v>1</v>
      </c>
      <c r="D68" s="28" t="str">
        <f>IF(C68&lt;90%,"&lt;90%",IF(C68&lt;100%,"90%-100%","100% и&gt;"))</f>
        <v>100% и&gt;</v>
      </c>
      <c r="E68" s="28" t="str">
        <f>IF(D68="&lt;90%","не выполнено",IF(D68="90%-100%","в целом выполнено","выполнено"))</f>
        <v>выполнено</v>
      </c>
      <c r="F68" s="33">
        <f>'ожидаемое 2019'!J59</f>
        <v>1</v>
      </c>
      <c r="G68" s="28" t="str">
        <f>IF(F68&lt;90%,"&lt;90%",IF(F68&lt;100%,"90%-100%","100% и&gt;"))</f>
        <v>100% и&gt;</v>
      </c>
      <c r="H68" s="28" t="str">
        <f>IF(G68="&lt;90%","не выполнено",IF(G68="90%-100%","в целом выполнено","выполнено"))</f>
        <v>выполнено</v>
      </c>
      <c r="I68" s="33">
        <f>'ожидаемое 2019'!K53</f>
        <v>1</v>
      </c>
      <c r="J68" s="28" t="str">
        <f>IF(I68&lt;90%,"&lt;90%",IF(I68&lt;100%,"90%-100%","100% и&gt;"))</f>
        <v>100% и&gt;</v>
      </c>
      <c r="K68" s="28" t="str">
        <f>IF(J68="&lt;90%","не выполнено",IF(J68="90%-100%","в целом выполнено","выполнено"))</f>
        <v>выполнено</v>
      </c>
    </row>
    <row r="69" spans="1:11" s="44" customFormat="1" ht="13.2" hidden="1" x14ac:dyDescent="0.3">
      <c r="A69" s="32" t="s">
        <v>110</v>
      </c>
      <c r="B69" s="34" t="s">
        <v>69</v>
      </c>
      <c r="C69" s="33"/>
      <c r="D69" s="28"/>
      <c r="E69" s="28"/>
      <c r="F69" s="33"/>
      <c r="G69" s="28"/>
      <c r="H69" s="28"/>
      <c r="I69" s="33"/>
      <c r="J69" s="28"/>
      <c r="K69" s="28"/>
    </row>
    <row r="70" spans="1:11" s="44" customFormat="1" ht="13.2" hidden="1" x14ac:dyDescent="0.3">
      <c r="A70" s="32" t="s">
        <v>111</v>
      </c>
      <c r="B70" s="34" t="s">
        <v>71</v>
      </c>
      <c r="C70" s="33"/>
      <c r="D70" s="28"/>
      <c r="E70" s="28"/>
      <c r="F70" s="33"/>
      <c r="G70" s="28"/>
      <c r="H70" s="28"/>
      <c r="I70" s="33"/>
      <c r="J70" s="28"/>
      <c r="K70" s="28"/>
    </row>
    <row r="71" spans="1:11" s="35" customFormat="1" ht="13.2" x14ac:dyDescent="0.3"/>
    <row r="72" spans="1:11" s="35" customFormat="1" ht="13.2" x14ac:dyDescent="0.3"/>
    <row r="73" spans="1:11" s="37" customFormat="1" ht="15.6" x14ac:dyDescent="0.3">
      <c r="A73" s="36"/>
      <c r="E73" s="38"/>
      <c r="H73" s="38"/>
      <c r="K73" s="39"/>
    </row>
    <row r="74" spans="1:11" s="35" customFormat="1" ht="13.2" x14ac:dyDescent="0.3"/>
    <row r="75" spans="1:11" s="35" customFormat="1" ht="13.2" x14ac:dyDescent="0.3"/>
    <row r="76" spans="1:11" s="40" customFormat="1" ht="12" x14ac:dyDescent="0.3"/>
    <row r="77" spans="1:11" s="35" customFormat="1" ht="13.2" x14ac:dyDescent="0.3"/>
    <row r="78" spans="1:11" s="45" customFormat="1" ht="13.2" x14ac:dyDescent="0.25"/>
  </sheetData>
  <mergeCells count="6">
    <mergeCell ref="A1:K1"/>
    <mergeCell ref="A2:A3"/>
    <mergeCell ref="B2:B3"/>
    <mergeCell ref="C2:E2"/>
    <mergeCell ref="F2:H2"/>
    <mergeCell ref="I2:K2"/>
  </mergeCells>
  <pageMargins left="0.19685039370078741" right="0.19685039370078741" top="0.78740157480314965" bottom="0.78740157480314965" header="0.59055118110236227" footer="0.5905511811023622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E25" sqref="E25"/>
    </sheetView>
  </sheetViews>
  <sheetFormatPr defaultColWidth="9.109375" defaultRowHeight="14.4" x14ac:dyDescent="0.3"/>
  <cols>
    <col min="1" max="1" width="4.33203125" style="12" customWidth="1"/>
    <col min="2" max="2" width="58.44140625" style="12" customWidth="1"/>
    <col min="3" max="3" width="8.5546875" style="12" customWidth="1"/>
    <col min="4" max="4" width="10.44140625" style="12" customWidth="1"/>
    <col min="5" max="5" width="13.6640625" style="12" customWidth="1"/>
    <col min="6" max="6" width="8.109375" style="12" customWidth="1"/>
    <col min="7" max="7" width="10.109375" style="12" customWidth="1"/>
    <col min="8" max="8" width="13.6640625" style="12" customWidth="1"/>
    <col min="9" max="9" width="8.6640625" style="12" customWidth="1"/>
    <col min="10" max="10" width="10.44140625" style="12" customWidth="1"/>
    <col min="11" max="11" width="13.6640625" style="12" customWidth="1"/>
    <col min="12" max="16384" width="9.109375" style="12"/>
  </cols>
  <sheetData>
    <row r="1" spans="1:11" s="5" customFormat="1" ht="19.5" customHeight="1" x14ac:dyDescent="0.3">
      <c r="A1" s="105" t="s">
        <v>253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s="6" customFormat="1" ht="10.199999999999999" x14ac:dyDescent="0.3"/>
    <row r="3" spans="1:11" s="4" customFormat="1" ht="18.75" customHeight="1" x14ac:dyDescent="0.3">
      <c r="A3" s="103" t="s">
        <v>0</v>
      </c>
      <c r="B3" s="103" t="s">
        <v>7</v>
      </c>
      <c r="C3" s="100" t="s">
        <v>13</v>
      </c>
      <c r="D3" s="101"/>
      <c r="E3" s="102"/>
      <c r="F3" s="100" t="s">
        <v>14</v>
      </c>
      <c r="G3" s="101"/>
      <c r="H3" s="102"/>
      <c r="I3" s="100" t="s">
        <v>1</v>
      </c>
      <c r="J3" s="101"/>
      <c r="K3" s="102"/>
    </row>
    <row r="4" spans="1:11" s="1" customFormat="1" ht="27.75" customHeight="1" x14ac:dyDescent="0.3">
      <c r="A4" s="104"/>
      <c r="B4" s="104"/>
      <c r="C4" s="7" t="s">
        <v>10</v>
      </c>
      <c r="D4" s="8" t="s">
        <v>8</v>
      </c>
      <c r="E4" s="8" t="s">
        <v>9</v>
      </c>
      <c r="F4" s="7" t="s">
        <v>10</v>
      </c>
      <c r="G4" s="8" t="s">
        <v>8</v>
      </c>
      <c r="H4" s="8" t="s">
        <v>9</v>
      </c>
      <c r="I4" s="7" t="s">
        <v>10</v>
      </c>
      <c r="J4" s="8" t="s">
        <v>8</v>
      </c>
      <c r="K4" s="8" t="s">
        <v>9</v>
      </c>
    </row>
    <row r="5" spans="1:11" s="1" customFormat="1" ht="33.75" customHeight="1" x14ac:dyDescent="0.3">
      <c r="A5" s="2" t="s">
        <v>6</v>
      </c>
      <c r="B5" s="48" t="s">
        <v>119</v>
      </c>
      <c r="C5" s="3">
        <f>('ожидаемое 2019'!J6+'ожидаемое 2019'!J20)/2</f>
        <v>0.98333333333333339</v>
      </c>
      <c r="D5" s="14" t="s">
        <v>51</v>
      </c>
      <c r="E5" s="15" t="s">
        <v>32</v>
      </c>
      <c r="F5" s="3">
        <f>('ожидаемое 2019'!J12+'ожидаемое 2019'!J26)/2</f>
        <v>1</v>
      </c>
      <c r="G5" s="14" t="s">
        <v>31</v>
      </c>
      <c r="H5" s="15" t="s">
        <v>32</v>
      </c>
      <c r="I5" s="3">
        <f>('ожидаемое 2019'!K6+'ожидаемое 2019'!K20)/2</f>
        <v>0.9916666666666667</v>
      </c>
      <c r="J5" s="14" t="s">
        <v>31</v>
      </c>
      <c r="K5" s="15" t="s">
        <v>32</v>
      </c>
    </row>
    <row r="6" spans="1:11" s="1" customFormat="1" ht="33" customHeight="1" x14ac:dyDescent="0.3">
      <c r="A6" s="2" t="s">
        <v>2</v>
      </c>
      <c r="B6" s="48" t="s">
        <v>120</v>
      </c>
      <c r="C6" s="3">
        <f>('ожидаемое 2019'!J13+'ожидаемое 2019'!J27+'ожидаемое 2019'!J34+'ожидаемое 2019'!J41+'ожидаемое 2019'!J60+'ожидаемое 2019'!J53+'ожидаемое 2019'!J72+'ожидаемое 2019'!J84+'ожидаемое 2019'!J96+'ожидаемое 2019'!J108+'ожидаемое 2019'!J120+'ожидаемое 2019'!J132+'ожидаемое 2019'!J144+'ожидаемое 2019'!J156)/14</f>
        <v>1</v>
      </c>
      <c r="D6" s="14" t="s">
        <v>51</v>
      </c>
      <c r="E6" s="15" t="s">
        <v>32</v>
      </c>
      <c r="F6" s="3">
        <f>('ожидаемое 2019'!J19+'ожидаемое 2019'!J33+'ожидаемое 2019'!J40+'ожидаемое 2019'!J47+'ожидаемое 2019'!J66+'ожидаемое 2019'!J59+'ожидаемое 2019'!J78+'ожидаемое 2019'!J90+'ожидаемое 2019'!J102+'ожидаемое 2019'!J114+'ожидаемое 2019'!J126+'ожидаемое 2019'!J138+'ожидаемое 2019'!J150+'ожидаемое 2019'!J162)/14</f>
        <v>1</v>
      </c>
      <c r="G6" s="14" t="s">
        <v>31</v>
      </c>
      <c r="H6" s="15" t="s">
        <v>32</v>
      </c>
      <c r="I6" s="3">
        <f>('ожидаемое 2019'!K13+'ожидаемое 2019'!K27+'ожидаемое 2019'!K34+'ожидаемое 2019'!K41+'ожидаемое 2019'!K60+'ожидаемое 2019'!K53+'ожидаемое 2019'!K72+'ожидаемое 2019'!K84+'ожидаемое 2019'!K96+'ожидаемое 2019'!K108+'ожидаемое 2019'!K120+'ожидаемое 2019'!K132+'ожидаемое 2019'!K144+'ожидаемое 2019'!K156)/14</f>
        <v>1</v>
      </c>
      <c r="J6" s="14" t="s">
        <v>31</v>
      </c>
      <c r="K6" s="15" t="s">
        <v>32</v>
      </c>
    </row>
    <row r="7" spans="1:11" s="1" customFormat="1" ht="31.5" customHeight="1" x14ac:dyDescent="0.3">
      <c r="A7" s="2" t="s">
        <v>3</v>
      </c>
      <c r="B7" s="48" t="s">
        <v>121</v>
      </c>
      <c r="C7" s="3">
        <f>('ожидаемое 2019'!J79+'ожидаемое 2019'!J91+'ожидаемое 2019'!J103+'ожидаемое 2019'!J115+'ожидаемое 2019'!J127+'ожидаемое 2019'!J139+'ожидаемое 2019'!J151+'ожидаемое 2019'!J163+'ожидаемое 2019'!J48)/9</f>
        <v>1</v>
      </c>
      <c r="D7" s="14" t="s">
        <v>51</v>
      </c>
      <c r="E7" s="15" t="s">
        <v>32</v>
      </c>
      <c r="F7" s="3">
        <f>('ожидаемое 2019'!J83+'ожидаемое 2019'!J95+'ожидаемое 2019'!J107+'ожидаемое 2019'!J119+'ожидаемое 2019'!J131+'ожидаемое 2019'!J143+'ожидаемое 2019'!J155+'ожидаемое 2019'!J167+'ожидаемое 2019'!J52)/9</f>
        <v>1</v>
      </c>
      <c r="G7" s="14" t="s">
        <v>51</v>
      </c>
      <c r="H7" s="15" t="s">
        <v>32</v>
      </c>
      <c r="I7" s="3">
        <f>('ожидаемое 2019'!K79+'ожидаемое 2019'!K91+'ожидаемое 2019'!K103+'ожидаемое 2019'!K115+'ожидаемое 2019'!K127+'ожидаемое 2019'!K139+'ожидаемое 2019'!K151+'ожидаемое 2019'!K163)/8</f>
        <v>1</v>
      </c>
      <c r="J7" s="14" t="s">
        <v>51</v>
      </c>
      <c r="K7" s="15" t="s">
        <v>32</v>
      </c>
    </row>
    <row r="8" spans="1:11" s="1" customFormat="1" ht="85.5" hidden="1" customHeight="1" x14ac:dyDescent="0.3">
      <c r="A8" s="2" t="s">
        <v>4</v>
      </c>
      <c r="B8" s="13" t="s">
        <v>18</v>
      </c>
      <c r="C8" s="3" t="e">
        <f>#REF!</f>
        <v>#REF!</v>
      </c>
      <c r="D8" s="14" t="s">
        <v>11</v>
      </c>
      <c r="E8" s="15" t="s">
        <v>12</v>
      </c>
      <c r="F8" s="3" t="e">
        <f>#REF!</f>
        <v>#REF!</v>
      </c>
      <c r="G8" s="14" t="s">
        <v>11</v>
      </c>
      <c r="H8" s="15" t="s">
        <v>12</v>
      </c>
      <c r="I8" s="3" t="e">
        <f>#REF!</f>
        <v>#REF!</v>
      </c>
      <c r="J8" s="14" t="s">
        <v>11</v>
      </c>
      <c r="K8" s="15" t="s">
        <v>12</v>
      </c>
    </row>
    <row r="9" spans="1:11" s="4" customFormat="1" ht="13.8" hidden="1" x14ac:dyDescent="0.3">
      <c r="A9" s="2" t="s">
        <v>5</v>
      </c>
      <c r="B9" s="13" t="s">
        <v>15</v>
      </c>
      <c r="C9" s="3" t="e">
        <f>AVERAGE(C5:C8)</f>
        <v>#REF!</v>
      </c>
      <c r="D9" s="14" t="s">
        <v>11</v>
      </c>
      <c r="E9" s="15" t="s">
        <v>12</v>
      </c>
      <c r="F9" s="3" t="e">
        <f>AVERAGE(F5:F8)</f>
        <v>#REF!</v>
      </c>
      <c r="G9" s="14" t="e">
        <f>#REF!</f>
        <v>#REF!</v>
      </c>
      <c r="H9" s="15" t="s">
        <v>12</v>
      </c>
      <c r="I9" s="3" t="e">
        <f>AVERAGE(I5:I8)</f>
        <v>#REF!</v>
      </c>
      <c r="J9" s="14" t="s">
        <v>11</v>
      </c>
      <c r="K9" s="15" t="s">
        <v>12</v>
      </c>
    </row>
    <row r="10" spans="1:11" s="1" customFormat="1" ht="13.2" x14ac:dyDescent="0.3"/>
    <row r="11" spans="1:11" s="1" customFormat="1" ht="13.2" x14ac:dyDescent="0.3"/>
    <row r="12" spans="1:11" s="5" customFormat="1" ht="15.6" x14ac:dyDescent="0.3">
      <c r="A12" s="36"/>
      <c r="E12" s="9"/>
      <c r="H12" s="9"/>
      <c r="K12" s="39"/>
    </row>
    <row r="13" spans="1:11" s="1" customFormat="1" ht="13.2" x14ac:dyDescent="0.3"/>
    <row r="14" spans="1:11" s="1" customFormat="1" ht="13.2" x14ac:dyDescent="0.3"/>
    <row r="15" spans="1:11" s="1" customFormat="1" ht="13.2" x14ac:dyDescent="0.3"/>
    <row r="16" spans="1:11" s="1" customFormat="1" ht="13.2" x14ac:dyDescent="0.3"/>
    <row r="17" s="10" customFormat="1" ht="12" x14ac:dyDescent="0.3"/>
    <row r="18" s="10" customFormat="1" ht="12" x14ac:dyDescent="0.3"/>
    <row r="19" s="11" customFormat="1" ht="13.2" x14ac:dyDescent="0.25"/>
  </sheetData>
  <mergeCells count="6">
    <mergeCell ref="A1:K1"/>
    <mergeCell ref="I3:K3"/>
    <mergeCell ref="C3:E3"/>
    <mergeCell ref="F3:H3"/>
    <mergeCell ref="A3:A4"/>
    <mergeCell ref="B3:B4"/>
  </mergeCells>
  <pageMargins left="0.39370078740157483" right="0.39370078740157483" top="1.1811023622047245" bottom="0.98425196850393704" header="0.59055118110236227" footer="0.59055118110236227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65607840DD4464F9DE4509B8AB34EB4" ma:contentTypeVersion="1" ma:contentTypeDescription="Создание документа." ma:contentTypeScope="" ma:versionID="44691a8f8e9f8fe265c308db8382cee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3A0245-2EA8-4ED2-AAE0-56F03DD123B0}"/>
</file>

<file path=customXml/itemProps2.xml><?xml version="1.0" encoding="utf-8"?>
<ds:datastoreItem xmlns:ds="http://schemas.openxmlformats.org/officeDocument/2006/customXml" ds:itemID="{473BDBDD-613A-41EA-992C-014F14131347}"/>
</file>

<file path=customXml/itemProps3.xml><?xml version="1.0" encoding="utf-8"?>
<ds:datastoreItem xmlns:ds="http://schemas.openxmlformats.org/officeDocument/2006/customXml" ds:itemID="{15F5E892-9ACA-4643-9FD5-338D78E95D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ожидаемое 2019</vt:lpstr>
      <vt:lpstr>в разрезе МУ</vt:lpstr>
      <vt:lpstr>в разрезе услуг</vt:lpstr>
      <vt:lpstr>'в разрезе МУ'!Заголовки_для_печати</vt:lpstr>
      <vt:lpstr>'в разрезе услуг'!Заголовки_для_печати</vt:lpstr>
      <vt:lpstr>'ожидаемое 2019'!Заголовки_для_печати</vt:lpstr>
      <vt:lpstr>'ожидаемое 2019'!Область_печати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Объедков Владимир Владимирович</cp:lastModifiedBy>
  <cp:lastPrinted>2020-02-10T04:59:56Z</cp:lastPrinted>
  <dcterms:created xsi:type="dcterms:W3CDTF">2010-05-16T11:05:00Z</dcterms:created>
  <dcterms:modified xsi:type="dcterms:W3CDTF">2020-02-13T05:05:32Z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0x010100065607840DD4464F9DE4509B8AB34EB4</vt:lpwstr>
  </property>
</Properties>
</file>