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2" windowWidth="15480" windowHeight="10932"/>
  </bookViews>
  <sheets>
    <sheet name="оценка 2018" sheetId="36" r:id="rId1"/>
    <sheet name="в разрезе МУ" sheetId="37" r:id="rId2"/>
    <sheet name="в разрезе услуг" sheetId="20" r:id="rId3"/>
  </sheets>
  <definedNames>
    <definedName name="_xlnm._FilterDatabase" localSheetId="0" hidden="1">'оценка 2018'!$A$5:$M$162</definedName>
    <definedName name="_xlnm.Print_Titles" localSheetId="1">'в разрезе МУ'!$2:$3</definedName>
    <definedName name="_xlnm.Print_Titles" localSheetId="2">'в разрезе услуг'!$3:$4</definedName>
    <definedName name="_xlnm.Print_Titles" localSheetId="0">'оценка 2018'!$4:$5</definedName>
    <definedName name="_xlnm.Print_Area" localSheetId="0">'оценка 2018'!$A$1:$M$174</definedName>
  </definedNames>
  <calcPr calcId="145621" fullCalcOnLoad="1"/>
  <fileRecoveryPr autoRecover="0"/>
</workbook>
</file>

<file path=xl/calcChain.xml><?xml version="1.0" encoding="utf-8"?>
<calcChain xmlns="http://schemas.openxmlformats.org/spreadsheetml/2006/main">
  <c r="H92" i="36" l="1"/>
  <c r="H33" i="36"/>
  <c r="H152" i="36"/>
  <c r="H28" i="36"/>
  <c r="I28" i="36" s="1"/>
  <c r="J27" i="36" s="1"/>
  <c r="H21" i="36"/>
  <c r="H65" i="36"/>
  <c r="H32" i="36"/>
  <c r="I32" i="36"/>
  <c r="G32" i="36"/>
  <c r="H25" i="36"/>
  <c r="H39" i="36"/>
  <c r="H53" i="36"/>
  <c r="I53" i="36" s="1"/>
  <c r="H60" i="36"/>
  <c r="H72" i="36"/>
  <c r="H77" i="36"/>
  <c r="H71" i="36"/>
  <c r="I71" i="36" s="1"/>
  <c r="H59" i="36"/>
  <c r="H52" i="36"/>
  <c r="H45" i="36"/>
  <c r="H38" i="36"/>
  <c r="I38" i="36" s="1"/>
  <c r="H31" i="36"/>
  <c r="H24" i="36"/>
  <c r="H76" i="36"/>
  <c r="H70" i="36"/>
  <c r="I70" i="36" s="1"/>
  <c r="H64" i="36"/>
  <c r="H58" i="36"/>
  <c r="H51" i="36"/>
  <c r="H44" i="36"/>
  <c r="I44" i="36" s="1"/>
  <c r="H37" i="36"/>
  <c r="H30" i="36"/>
  <c r="H23" i="36"/>
  <c r="I23" i="36"/>
  <c r="H75" i="36"/>
  <c r="H69" i="36"/>
  <c r="H50" i="36"/>
  <c r="H36" i="36"/>
  <c r="I36" i="36" s="1"/>
  <c r="H29" i="36"/>
  <c r="H22" i="36"/>
  <c r="H56" i="36"/>
  <c r="H49" i="36"/>
  <c r="I49" i="36" s="1"/>
  <c r="J48" i="36" s="1"/>
  <c r="C69" i="37" s="1"/>
  <c r="H14" i="36"/>
  <c r="I14" i="36"/>
  <c r="H8" i="36"/>
  <c r="H15" i="36"/>
  <c r="I15" i="36" s="1"/>
  <c r="H16" i="36"/>
  <c r="H9" i="36"/>
  <c r="H10" i="36"/>
  <c r="H17" i="36"/>
  <c r="I17" i="36" s="1"/>
  <c r="H18" i="36"/>
  <c r="H11" i="36"/>
  <c r="H144" i="36"/>
  <c r="H120" i="36"/>
  <c r="I120" i="36" s="1"/>
  <c r="H108" i="36"/>
  <c r="H96" i="36"/>
  <c r="I96" i="36" s="1"/>
  <c r="H84" i="36"/>
  <c r="H125" i="36"/>
  <c r="I125" i="36" s="1"/>
  <c r="H119" i="36"/>
  <c r="H113" i="36"/>
  <c r="H107" i="36"/>
  <c r="H101" i="36"/>
  <c r="I101" i="36" s="1"/>
  <c r="H95" i="36"/>
  <c r="H89" i="36"/>
  <c r="H83" i="36"/>
  <c r="H131" i="36"/>
  <c r="I131" i="36" s="1"/>
  <c r="H137" i="36"/>
  <c r="H149" i="36"/>
  <c r="H143" i="36"/>
  <c r="H161" i="36"/>
  <c r="I161" i="36" s="1"/>
  <c r="H155" i="36"/>
  <c r="H160" i="36"/>
  <c r="H154" i="36"/>
  <c r="H148" i="36"/>
  <c r="I148" i="36" s="1"/>
  <c r="H142" i="36"/>
  <c r="H136" i="36"/>
  <c r="H130" i="36"/>
  <c r="H124" i="36"/>
  <c r="H118" i="36"/>
  <c r="H112" i="36"/>
  <c r="H106" i="36"/>
  <c r="H100" i="36"/>
  <c r="I100" i="36" s="1"/>
  <c r="H94" i="36"/>
  <c r="H88" i="36"/>
  <c r="H87" i="36"/>
  <c r="H82" i="36"/>
  <c r="I82" i="36" s="1"/>
  <c r="H81" i="36"/>
  <c r="H93" i="36"/>
  <c r="H111" i="36"/>
  <c r="H123" i="36"/>
  <c r="I123" i="36" s="1"/>
  <c r="J122" i="36" s="1"/>
  <c r="C35" i="37" s="1"/>
  <c r="D35" i="37" s="1"/>
  <c r="E35" i="37" s="1"/>
  <c r="H129" i="36"/>
  <c r="H141" i="36"/>
  <c r="H153" i="36"/>
  <c r="H7" i="36"/>
  <c r="I7" i="36" s="1"/>
  <c r="H162" i="36"/>
  <c r="G162" i="36"/>
  <c r="H157" i="36"/>
  <c r="G157" i="36"/>
  <c r="H150" i="36"/>
  <c r="H145" i="36"/>
  <c r="H139" i="36" s="1"/>
  <c r="I139" i="36" s="1"/>
  <c r="J139" i="36" s="1"/>
  <c r="G145" i="36"/>
  <c r="H138" i="36"/>
  <c r="H133" i="36"/>
  <c r="H126" i="36"/>
  <c r="G126" i="36"/>
  <c r="H121" i="36"/>
  <c r="G121" i="36"/>
  <c r="H114" i="36"/>
  <c r="H109" i="36"/>
  <c r="G109" i="36"/>
  <c r="I109" i="36" s="1"/>
  <c r="J109" i="36" s="1"/>
  <c r="F29" i="37" s="1"/>
  <c r="H97" i="36"/>
  <c r="G97" i="36"/>
  <c r="H102" i="36"/>
  <c r="G102" i="36"/>
  <c r="H85" i="36"/>
  <c r="H90" i="36"/>
  <c r="H78" i="36"/>
  <c r="H61" i="36"/>
  <c r="G66" i="36"/>
  <c r="H66" i="36"/>
  <c r="I66" i="36" s="1"/>
  <c r="H54" i="36"/>
  <c r="H47" i="36"/>
  <c r="H40" i="36"/>
  <c r="H19" i="36"/>
  <c r="H13" i="36" s="1"/>
  <c r="I13" i="36" s="1"/>
  <c r="H151" i="36"/>
  <c r="I151" i="36"/>
  <c r="J151" i="36" s="1"/>
  <c r="H127" i="36"/>
  <c r="G133" i="36"/>
  <c r="H103" i="36"/>
  <c r="I103" i="36" s="1"/>
  <c r="H98" i="36"/>
  <c r="I98" i="36"/>
  <c r="H91" i="36"/>
  <c r="G85" i="36"/>
  <c r="I85" i="36" s="1"/>
  <c r="H79" i="36"/>
  <c r="I79" i="36"/>
  <c r="G78" i="36"/>
  <c r="H67" i="36"/>
  <c r="I67" i="36" s="1"/>
  <c r="J67" i="36" s="1"/>
  <c r="G54" i="36"/>
  <c r="H48" i="36"/>
  <c r="I48" i="36"/>
  <c r="G47" i="36"/>
  <c r="G40" i="36"/>
  <c r="H34" i="36"/>
  <c r="I34" i="36" s="1"/>
  <c r="G33" i="36"/>
  <c r="G19" i="36"/>
  <c r="H156" i="36"/>
  <c r="H132" i="36"/>
  <c r="G61" i="36"/>
  <c r="H46" i="36"/>
  <c r="G66" i="37"/>
  <c r="H66" i="37" s="1"/>
  <c r="H62" i="36"/>
  <c r="I62" i="36" s="1"/>
  <c r="J62" i="36" s="1"/>
  <c r="H20" i="36"/>
  <c r="I20" i="36" s="1"/>
  <c r="J20" i="36" s="1"/>
  <c r="H158" i="36"/>
  <c r="I158" i="36" s="1"/>
  <c r="J158" i="36" s="1"/>
  <c r="I145" i="36"/>
  <c r="J145" i="36" s="1"/>
  <c r="F44" i="37" s="1"/>
  <c r="H146" i="36"/>
  <c r="G150" i="36"/>
  <c r="I127" i="36"/>
  <c r="G138" i="36"/>
  <c r="H122" i="36"/>
  <c r="I122" i="36" s="1"/>
  <c r="H110" i="36"/>
  <c r="I110" i="36" s="1"/>
  <c r="J110" i="36" s="1"/>
  <c r="K110" i="36" s="1"/>
  <c r="G114" i="36"/>
  <c r="H86" i="36"/>
  <c r="I86" i="36" s="1"/>
  <c r="J86" i="36" s="1"/>
  <c r="C20" i="37" s="1"/>
  <c r="G90" i="36"/>
  <c r="H74" i="36"/>
  <c r="I74" i="36"/>
  <c r="J74" i="36" s="1"/>
  <c r="H63" i="36"/>
  <c r="J66" i="36"/>
  <c r="I65" i="36"/>
  <c r="I64" i="36"/>
  <c r="I63" i="36"/>
  <c r="H159" i="36"/>
  <c r="I153" i="36"/>
  <c r="I141" i="36"/>
  <c r="H135" i="36"/>
  <c r="I135" i="36" s="1"/>
  <c r="I129" i="36"/>
  <c r="J127" i="36" s="1"/>
  <c r="H117" i="36"/>
  <c r="I117" i="36"/>
  <c r="I111" i="36"/>
  <c r="I93" i="36"/>
  <c r="I75" i="36"/>
  <c r="I69" i="36"/>
  <c r="I50" i="36"/>
  <c r="H57" i="36"/>
  <c r="I57" i="36" s="1"/>
  <c r="I159" i="36"/>
  <c r="I81" i="36"/>
  <c r="I92" i="36"/>
  <c r="H27" i="36"/>
  <c r="I27" i="36" s="1"/>
  <c r="I156" i="36"/>
  <c r="I155" i="36"/>
  <c r="I154" i="36"/>
  <c r="I144" i="36"/>
  <c r="I143" i="36"/>
  <c r="I142" i="36"/>
  <c r="I132" i="36"/>
  <c r="I130" i="36"/>
  <c r="I119" i="36"/>
  <c r="I118" i="36"/>
  <c r="I108" i="36"/>
  <c r="I107" i="36"/>
  <c r="I106" i="36"/>
  <c r="I95" i="36"/>
  <c r="I94" i="36"/>
  <c r="I84" i="36"/>
  <c r="I83" i="36"/>
  <c r="I72" i="36"/>
  <c r="I52" i="36"/>
  <c r="I51" i="36"/>
  <c r="I60" i="36"/>
  <c r="I59" i="36"/>
  <c r="I58" i="36"/>
  <c r="I46" i="36"/>
  <c r="I45" i="36"/>
  <c r="I39" i="36"/>
  <c r="I37" i="36"/>
  <c r="I11" i="36"/>
  <c r="I10" i="36"/>
  <c r="I9" i="36"/>
  <c r="I18" i="36"/>
  <c r="I16" i="36"/>
  <c r="I31" i="36"/>
  <c r="I30" i="36"/>
  <c r="I29" i="36"/>
  <c r="I22" i="36"/>
  <c r="I24" i="36"/>
  <c r="G25" i="36"/>
  <c r="I160" i="36"/>
  <c r="I136" i="36"/>
  <c r="I124" i="36"/>
  <c r="I112" i="36"/>
  <c r="I88" i="36"/>
  <c r="I76" i="36"/>
  <c r="I97" i="36"/>
  <c r="J97" i="36"/>
  <c r="F24" i="37" s="1"/>
  <c r="I146" i="36"/>
  <c r="I149" i="36"/>
  <c r="I126" i="36"/>
  <c r="J126" i="36" s="1"/>
  <c r="F35" i="37" s="1"/>
  <c r="I91" i="36"/>
  <c r="I89" i="36"/>
  <c r="I87" i="36"/>
  <c r="I8" i="36"/>
  <c r="H43" i="36"/>
  <c r="I43" i="36" s="1"/>
  <c r="I73" i="36"/>
  <c r="J73" i="36"/>
  <c r="H147" i="36"/>
  <c r="I147" i="36"/>
  <c r="H105" i="36"/>
  <c r="I105" i="36"/>
  <c r="H99" i="36"/>
  <c r="I99" i="36"/>
  <c r="I176" i="36"/>
  <c r="G178" i="36"/>
  <c r="I152" i="36"/>
  <c r="I137" i="36"/>
  <c r="I128" i="36"/>
  <c r="I140" i="36"/>
  <c r="I116" i="36"/>
  <c r="I113" i="36"/>
  <c r="I104" i="36"/>
  <c r="I80" i="36"/>
  <c r="J79" i="36" s="1"/>
  <c r="I77" i="36"/>
  <c r="I68" i="36"/>
  <c r="I56" i="36"/>
  <c r="I42" i="36"/>
  <c r="I35" i="36"/>
  <c r="I21" i="36"/>
  <c r="I25" i="36"/>
  <c r="G9" i="20"/>
  <c r="F8" i="20"/>
  <c r="C8" i="20"/>
  <c r="I8" i="20"/>
  <c r="I12" i="36"/>
  <c r="J12" i="36"/>
  <c r="F6" i="37" s="1"/>
  <c r="J85" i="36"/>
  <c r="I40" i="36"/>
  <c r="J40" i="36" s="1"/>
  <c r="F54" i="37" s="1"/>
  <c r="I162" i="36"/>
  <c r="J162" i="36"/>
  <c r="F50" i="37" s="1"/>
  <c r="G50" i="37" s="1"/>
  <c r="H50" i="37" s="1"/>
  <c r="I133" i="36"/>
  <c r="J133" i="36" s="1"/>
  <c r="F39" i="37"/>
  <c r="I114" i="36"/>
  <c r="J114" i="36"/>
  <c r="F30" i="37" s="1"/>
  <c r="G30" i="37" s="1"/>
  <c r="H30" i="37" s="1"/>
  <c r="I150" i="36"/>
  <c r="J150" i="36" s="1"/>
  <c r="F45" i="37"/>
  <c r="I78" i="36"/>
  <c r="J78" i="36" s="1"/>
  <c r="I54" i="36"/>
  <c r="J54" i="36" s="1"/>
  <c r="F69" i="37" s="1"/>
  <c r="I90" i="36"/>
  <c r="J90" i="36" s="1"/>
  <c r="I26" i="36"/>
  <c r="J26" i="36"/>
  <c r="F10" i="37" s="1"/>
  <c r="G10" i="37" s="1"/>
  <c r="H10" i="37" s="1"/>
  <c r="I157" i="36"/>
  <c r="J157" i="36" s="1"/>
  <c r="F49" i="37" s="1"/>
  <c r="G49" i="37" s="1"/>
  <c r="H49" i="37" s="1"/>
  <c r="I33" i="36"/>
  <c r="J33" i="36"/>
  <c r="F11" i="37" s="1"/>
  <c r="G11" i="37"/>
  <c r="H11" i="37" s="1"/>
  <c r="I19" i="36"/>
  <c r="J19" i="36" s="1"/>
  <c r="J13" i="36"/>
  <c r="H178" i="36"/>
  <c r="H6" i="36"/>
  <c r="I6" i="36"/>
  <c r="C14" i="37"/>
  <c r="D14" i="37" s="1"/>
  <c r="E14" i="37"/>
  <c r="J91" i="36"/>
  <c r="J98" i="36"/>
  <c r="C25" i="37" s="1"/>
  <c r="D25" i="37"/>
  <c r="E25" i="37" s="1"/>
  <c r="C15" i="37"/>
  <c r="C30" i="37"/>
  <c r="D30" i="37" s="1"/>
  <c r="E30" i="37" s="1"/>
  <c r="C50" i="37"/>
  <c r="D50" i="37" s="1"/>
  <c r="E50" i="37" s="1"/>
  <c r="J146" i="36"/>
  <c r="F5" i="20"/>
  <c r="C44" i="37"/>
  <c r="G24" i="37"/>
  <c r="H24" i="37" s="1"/>
  <c r="K122" i="36"/>
  <c r="F15" i="37"/>
  <c r="G15" i="37" s="1"/>
  <c r="H15" i="37" s="1"/>
  <c r="G45" i="37"/>
  <c r="H45" i="37" s="1"/>
  <c r="G35" i="37"/>
  <c r="H35" i="37" s="1"/>
  <c r="C65" i="37"/>
  <c r="D65" i="37" s="1"/>
  <c r="E65" i="37" s="1"/>
  <c r="K158" i="36"/>
  <c r="F47" i="37"/>
  <c r="G47" i="37" s="1"/>
  <c r="H47" i="37" s="1"/>
  <c r="C10" i="37"/>
  <c r="F8" i="37"/>
  <c r="G8" i="37" s="1"/>
  <c r="H8" i="37" s="1"/>
  <c r="K74" i="36"/>
  <c r="L74" i="36" s="1"/>
  <c r="D20" i="37"/>
  <c r="E20" i="37" s="1"/>
  <c r="C19" i="37"/>
  <c r="D19" i="37" s="1"/>
  <c r="E19" i="37" s="1"/>
  <c r="F67" i="37"/>
  <c r="G69" i="37"/>
  <c r="G67" i="37" s="1"/>
  <c r="L158" i="36"/>
  <c r="I50" i="37"/>
  <c r="J50" i="37" s="1"/>
  <c r="K50" i="37" s="1"/>
  <c r="D44" i="37"/>
  <c r="E44" i="37" s="1"/>
  <c r="D15" i="37"/>
  <c r="E15" i="37" s="1"/>
  <c r="C12" i="37"/>
  <c r="D12" i="37"/>
  <c r="E12" i="37"/>
  <c r="D10" i="37"/>
  <c r="E10" i="37" s="1"/>
  <c r="L122" i="36"/>
  <c r="I35" i="37"/>
  <c r="J35" i="37" s="1"/>
  <c r="K35" i="37" s="1"/>
  <c r="G6" i="37"/>
  <c r="H6" i="37"/>
  <c r="C17" i="37"/>
  <c r="D17" i="37"/>
  <c r="E17" i="37" s="1"/>
  <c r="H69" i="37"/>
  <c r="H67" i="37"/>
  <c r="C7" i="37" l="1"/>
  <c r="D7" i="37" s="1"/>
  <c r="E7" i="37" s="1"/>
  <c r="K13" i="36"/>
  <c r="F20" i="37"/>
  <c r="G20" i="37" s="1"/>
  <c r="H20" i="37" s="1"/>
  <c r="K86" i="36"/>
  <c r="F19" i="37"/>
  <c r="K79" i="36"/>
  <c r="G44" i="37"/>
  <c r="H44" i="37" s="1"/>
  <c r="F42" i="37"/>
  <c r="G42" i="37" s="1"/>
  <c r="H42" i="37" s="1"/>
  <c r="K151" i="36"/>
  <c r="C49" i="37"/>
  <c r="H176" i="36"/>
  <c r="H41" i="36"/>
  <c r="I41" i="36" s="1"/>
  <c r="J41" i="36" s="1"/>
  <c r="I47" i="36"/>
  <c r="J47" i="36" s="1"/>
  <c r="F59" i="37" s="1"/>
  <c r="H179" i="36"/>
  <c r="H55" i="36"/>
  <c r="I55" i="36" s="1"/>
  <c r="J55" i="36" s="1"/>
  <c r="I61" i="36"/>
  <c r="J61" i="36" s="1"/>
  <c r="F64" i="37" s="1"/>
  <c r="I102" i="36"/>
  <c r="J102" i="36" s="1"/>
  <c r="G180" i="36"/>
  <c r="F27" i="37"/>
  <c r="G27" i="37" s="1"/>
  <c r="H27" i="37" s="1"/>
  <c r="G29" i="37"/>
  <c r="H29" i="37" s="1"/>
  <c r="H115" i="36"/>
  <c r="I115" i="36" s="1"/>
  <c r="J115" i="36" s="1"/>
  <c r="I121" i="36"/>
  <c r="J121" i="36" s="1"/>
  <c r="F34" i="37" s="1"/>
  <c r="H134" i="36"/>
  <c r="I134" i="36" s="1"/>
  <c r="J134" i="36" s="1"/>
  <c r="I138" i="36"/>
  <c r="J138" i="36" s="1"/>
  <c r="F40" i="37" s="1"/>
  <c r="G40" i="37" s="1"/>
  <c r="H40" i="37" s="1"/>
  <c r="H180" i="36"/>
  <c r="C67" i="37"/>
  <c r="D69" i="37"/>
  <c r="C11" i="37"/>
  <c r="D11" i="37" s="1"/>
  <c r="E11" i="37" s="1"/>
  <c r="K27" i="36"/>
  <c r="K48" i="36"/>
  <c r="K146" i="36"/>
  <c r="C45" i="37"/>
  <c r="D45" i="37" s="1"/>
  <c r="E45" i="37" s="1"/>
  <c r="C24" i="37"/>
  <c r="K91" i="36"/>
  <c r="F14" i="37"/>
  <c r="K67" i="36"/>
  <c r="I30" i="37"/>
  <c r="J30" i="37" s="1"/>
  <c r="K30" i="37" s="1"/>
  <c r="L110" i="36"/>
  <c r="I15" i="37"/>
  <c r="J15" i="37" s="1"/>
  <c r="K15" i="37" s="1"/>
  <c r="J6" i="36"/>
  <c r="F7" i="37"/>
  <c r="C8" i="37"/>
  <c r="D8" i="37" s="1"/>
  <c r="E8" i="37" s="1"/>
  <c r="F52" i="37"/>
  <c r="G54" i="37"/>
  <c r="K127" i="36"/>
  <c r="C39" i="37"/>
  <c r="F65" i="37"/>
  <c r="G65" i="37" s="1"/>
  <c r="H65" i="37" s="1"/>
  <c r="K62" i="36"/>
  <c r="F37" i="37"/>
  <c r="G37" i="37" s="1"/>
  <c r="H37" i="37" s="1"/>
  <c r="G39" i="37"/>
  <c r="H39" i="37" s="1"/>
  <c r="G179" i="36"/>
  <c r="G176" i="36"/>
  <c r="J103" i="36"/>
  <c r="C7" i="20"/>
  <c r="F7" i="20"/>
  <c r="K20" i="36"/>
  <c r="K139" i="36"/>
  <c r="J34" i="36"/>
  <c r="C6" i="20" s="1"/>
  <c r="D24" i="37" l="1"/>
  <c r="E24" i="37" s="1"/>
  <c r="C22" i="37"/>
  <c r="D22" i="37" s="1"/>
  <c r="E22" i="37" s="1"/>
  <c r="C34" i="37"/>
  <c r="K115" i="36"/>
  <c r="L151" i="36"/>
  <c r="I49" i="37"/>
  <c r="L127" i="36"/>
  <c r="I39" i="37"/>
  <c r="F6" i="20"/>
  <c r="F9" i="20" s="1"/>
  <c r="F12" i="37"/>
  <c r="G12" i="37" s="1"/>
  <c r="H12" i="37" s="1"/>
  <c r="G14" i="37"/>
  <c r="H14" i="37" s="1"/>
  <c r="I45" i="37"/>
  <c r="J45" i="37" s="1"/>
  <c r="K45" i="37" s="1"/>
  <c r="L146" i="36"/>
  <c r="E69" i="37"/>
  <c r="D67" i="37"/>
  <c r="E67" i="37" s="1"/>
  <c r="C40" i="37"/>
  <c r="D40" i="37" s="1"/>
  <c r="E40" i="37" s="1"/>
  <c r="K134" i="36"/>
  <c r="I10" i="37"/>
  <c r="L20" i="36"/>
  <c r="L62" i="36"/>
  <c r="I65" i="37"/>
  <c r="J65" i="37" s="1"/>
  <c r="K65" i="37" s="1"/>
  <c r="H54" i="37"/>
  <c r="G52" i="37"/>
  <c r="H52" i="37" s="1"/>
  <c r="G7" i="37"/>
  <c r="H7" i="37" s="1"/>
  <c r="F4" i="37"/>
  <c r="G4" i="37" s="1"/>
  <c r="H4" i="37" s="1"/>
  <c r="L91" i="36"/>
  <c r="I24" i="37"/>
  <c r="L48" i="36"/>
  <c r="I69" i="37"/>
  <c r="G34" i="37"/>
  <c r="H34" i="37" s="1"/>
  <c r="F32" i="37"/>
  <c r="G32" i="37" s="1"/>
  <c r="H32" i="37" s="1"/>
  <c r="D49" i="37"/>
  <c r="E49" i="37" s="1"/>
  <c r="C47" i="37"/>
  <c r="D47" i="37" s="1"/>
  <c r="E47" i="37" s="1"/>
  <c r="I19" i="37"/>
  <c r="L79" i="36"/>
  <c r="C6" i="37"/>
  <c r="K6" i="36"/>
  <c r="C5" i="20"/>
  <c r="C9" i="20" s="1"/>
  <c r="G59" i="37"/>
  <c r="F57" i="37"/>
  <c r="I7" i="37"/>
  <c r="J7" i="37" s="1"/>
  <c r="K7" i="37" s="1"/>
  <c r="L13" i="36"/>
  <c r="K34" i="36"/>
  <c r="C54" i="37"/>
  <c r="I14" i="37"/>
  <c r="L67" i="36"/>
  <c r="G64" i="37"/>
  <c r="H64" i="37" s="1"/>
  <c r="F62" i="37"/>
  <c r="G62" i="37" s="1"/>
  <c r="H62" i="37" s="1"/>
  <c r="C59" i="37"/>
  <c r="K41" i="36"/>
  <c r="L86" i="36"/>
  <c r="I20" i="37"/>
  <c r="J20" i="37" s="1"/>
  <c r="K20" i="37" s="1"/>
  <c r="I11" i="37"/>
  <c r="J11" i="37" s="1"/>
  <c r="K11" i="37" s="1"/>
  <c r="L27" i="36"/>
  <c r="F25" i="37"/>
  <c r="K98" i="36"/>
  <c r="G19" i="37"/>
  <c r="H19" i="37" s="1"/>
  <c r="F17" i="37"/>
  <c r="G17" i="37" s="1"/>
  <c r="H17" i="37" s="1"/>
  <c r="D39" i="37"/>
  <c r="E39" i="37" s="1"/>
  <c r="I44" i="37"/>
  <c r="L139" i="36"/>
  <c r="K103" i="36"/>
  <c r="C29" i="37"/>
  <c r="K55" i="36"/>
  <c r="C64" i="37"/>
  <c r="C42" i="37"/>
  <c r="D42" i="37" s="1"/>
  <c r="E42" i="37" s="1"/>
  <c r="L34" i="36" l="1"/>
  <c r="I54" i="37"/>
  <c r="D6" i="37"/>
  <c r="E6" i="37" s="1"/>
  <c r="C4" i="37"/>
  <c r="D4" i="37" s="1"/>
  <c r="E4" i="37" s="1"/>
  <c r="I34" i="37"/>
  <c r="L115" i="36"/>
  <c r="D64" i="37"/>
  <c r="E64" i="37" s="1"/>
  <c r="C62" i="37"/>
  <c r="D62" i="37" s="1"/>
  <c r="E62" i="37" s="1"/>
  <c r="L41" i="36"/>
  <c r="I59" i="37"/>
  <c r="G57" i="37"/>
  <c r="H57" i="37" s="1"/>
  <c r="H59" i="37"/>
  <c r="J24" i="37"/>
  <c r="K24" i="37" s="1"/>
  <c r="C32" i="37"/>
  <c r="D32" i="37" s="1"/>
  <c r="E32" i="37" s="1"/>
  <c r="D34" i="37"/>
  <c r="E34" i="37" s="1"/>
  <c r="I29" i="37"/>
  <c r="L103" i="36"/>
  <c r="G25" i="37"/>
  <c r="H25" i="37" s="1"/>
  <c r="F22" i="37"/>
  <c r="G22" i="37" s="1"/>
  <c r="H22" i="37" s="1"/>
  <c r="L55" i="36"/>
  <c r="I64" i="37"/>
  <c r="I42" i="37"/>
  <c r="J42" i="37" s="1"/>
  <c r="K42" i="37" s="1"/>
  <c r="J44" i="37"/>
  <c r="K44" i="37" s="1"/>
  <c r="C57" i="37"/>
  <c r="D59" i="37"/>
  <c r="I12" i="37"/>
  <c r="J12" i="37" s="1"/>
  <c r="K12" i="37" s="1"/>
  <c r="J14" i="37"/>
  <c r="K14" i="37" s="1"/>
  <c r="I17" i="37"/>
  <c r="J17" i="37" s="1"/>
  <c r="K17" i="37" s="1"/>
  <c r="J19" i="37"/>
  <c r="K19" i="37" s="1"/>
  <c r="I8" i="37"/>
  <c r="J8" i="37" s="1"/>
  <c r="K8" i="37" s="1"/>
  <c r="J10" i="37"/>
  <c r="K10" i="37" s="1"/>
  <c r="J49" i="37"/>
  <c r="K49" i="37" s="1"/>
  <c r="I47" i="37"/>
  <c r="J47" i="37" s="1"/>
  <c r="K47" i="37" s="1"/>
  <c r="J39" i="37"/>
  <c r="K39" i="37" s="1"/>
  <c r="D29" i="37"/>
  <c r="E29" i="37" s="1"/>
  <c r="C27" i="37"/>
  <c r="D27" i="37" s="1"/>
  <c r="E27" i="37" s="1"/>
  <c r="C37" i="37"/>
  <c r="D37" i="37" s="1"/>
  <c r="E37" i="37" s="1"/>
  <c r="L98" i="36"/>
  <c r="I25" i="37"/>
  <c r="J25" i="37" s="1"/>
  <c r="K25" i="37" s="1"/>
  <c r="I7" i="20"/>
  <c r="D54" i="37"/>
  <c r="C52" i="37"/>
  <c r="I6" i="20"/>
  <c r="L6" i="36"/>
  <c r="I5" i="20"/>
  <c r="I9" i="20" s="1"/>
  <c r="I6" i="37"/>
  <c r="I67" i="37"/>
  <c r="J69" i="37"/>
  <c r="L134" i="36"/>
  <c r="I40" i="37"/>
  <c r="J40" i="37" s="1"/>
  <c r="K40" i="37" s="1"/>
  <c r="E54" i="37" l="1"/>
  <c r="D52" i="37"/>
  <c r="E52" i="37" s="1"/>
  <c r="I37" i="37"/>
  <c r="J37" i="37" s="1"/>
  <c r="K37" i="37" s="1"/>
  <c r="J67" i="37"/>
  <c r="K67" i="37" s="1"/>
  <c r="K69" i="37"/>
  <c r="D57" i="37"/>
  <c r="E57" i="37" s="1"/>
  <c r="E59" i="37"/>
  <c r="I62" i="37"/>
  <c r="J62" i="37" s="1"/>
  <c r="K62" i="37" s="1"/>
  <c r="J64" i="37"/>
  <c r="K64" i="37" s="1"/>
  <c r="I22" i="37"/>
  <c r="J22" i="37" s="1"/>
  <c r="K22" i="37" s="1"/>
  <c r="I57" i="37"/>
  <c r="J59" i="37"/>
  <c r="I52" i="37"/>
  <c r="J54" i="37"/>
  <c r="J6" i="37"/>
  <c r="K6" i="37" s="1"/>
  <c r="I4" i="37"/>
  <c r="J4" i="37" s="1"/>
  <c r="K4" i="37" s="1"/>
  <c r="J29" i="37"/>
  <c r="K29" i="37" s="1"/>
  <c r="I27" i="37"/>
  <c r="J27" i="37" s="1"/>
  <c r="K27" i="37" s="1"/>
  <c r="J34" i="37"/>
  <c r="K34" i="37" s="1"/>
  <c r="I32" i="37"/>
  <c r="J32" i="37" s="1"/>
  <c r="K32" i="37" s="1"/>
  <c r="J57" i="37" l="1"/>
  <c r="K57" i="37" s="1"/>
  <c r="K59" i="37"/>
  <c r="J52" i="37"/>
  <c r="K52" i="37" s="1"/>
  <c r="K54" i="37"/>
</calcChain>
</file>

<file path=xl/sharedStrings.xml><?xml version="1.0" encoding="utf-8"?>
<sst xmlns="http://schemas.openxmlformats.org/spreadsheetml/2006/main" count="913" uniqueCount="258">
  <si>
    <t>№ п/п</t>
  </si>
  <si>
    <t>Васюта Светлана Владимировна 226-15-53</t>
  </si>
  <si>
    <r>
      <t>ОЦ</t>
    </r>
    <r>
      <rPr>
        <vertAlign val="subscript"/>
        <sz val="12"/>
        <color indexed="8"/>
        <rFont val="Times New Roman"/>
        <family val="1"/>
        <charset val="204"/>
      </rPr>
      <t>итоговая</t>
    </r>
  </si>
  <si>
    <t>2</t>
  </si>
  <si>
    <t>3</t>
  </si>
  <si>
    <t>4</t>
  </si>
  <si>
    <t>5</t>
  </si>
  <si>
    <t>1</t>
  </si>
  <si>
    <t>Наименование муниципальной услуги</t>
  </si>
  <si>
    <t>диапазон значений</t>
  </si>
  <si>
    <t>интерпретация</t>
  </si>
  <si>
    <t>значение</t>
  </si>
  <si>
    <t>&gt;100%</t>
  </si>
  <si>
    <t>перевыполнено</t>
  </si>
  <si>
    <t>в целом выполнено</t>
  </si>
  <si>
    <t>Показатели качества</t>
  </si>
  <si>
    <t>Показатели объема</t>
  </si>
  <si>
    <t>Среднее значение по социальному обслуживанию</t>
  </si>
  <si>
    <t>МБУСО «ГСРЦН «Росток»</t>
  </si>
  <si>
    <t>МБУ «ГЦСОН «Родник»</t>
  </si>
  <si>
    <t>Предоставление социального обслуживания в форме на дому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 (заочно)</t>
  </si>
  <si>
    <t>МБУСО «Центр «Радуга»</t>
  </si>
  <si>
    <t>МБУСО «ЦСПСиД «Надежда»</t>
  </si>
  <si>
    <t>МБУСО «ЦСПСиД «Доверие»</t>
  </si>
  <si>
    <t>МБУ «КЦСОН Центрального района»</t>
  </si>
  <si>
    <t>МБУ «ЦСО Советского района»</t>
  </si>
  <si>
    <t>МБУ «КЦСОН Свердловского района»</t>
  </si>
  <si>
    <t>МБУ «ЦСО Октябрьского района»</t>
  </si>
  <si>
    <t>МБУ «ЦСО Ленинского района»</t>
  </si>
  <si>
    <t>МБУ «КЦСОН Кировского района»</t>
  </si>
  <si>
    <t>МБУ «ЦСО Железнодорожного района»</t>
  </si>
  <si>
    <t>МБУСО «ЦСПСиД «Октябрьский»</t>
  </si>
  <si>
    <t>МБУСО «ЦСПСиД «Эдельвейс»</t>
  </si>
  <si>
    <t>90%-100%</t>
  </si>
  <si>
    <t>выполнено</t>
  </si>
  <si>
    <t>Наименование оказываемой услуги (выпол-няемой работы)</t>
  </si>
  <si>
    <t>Вариант оказания (выпол-нения)</t>
  </si>
  <si>
    <t>Показатель (качества, объема)</t>
  </si>
  <si>
    <t>Наименование показателя</t>
  </si>
  <si>
    <t>показатель объема</t>
  </si>
  <si>
    <t>Причины отклонения значений от запланированных</t>
  </si>
  <si>
    <t>%</t>
  </si>
  <si>
    <t>ед.</t>
  </si>
  <si>
    <t>укомплектование организации специалистами, оказывающими социальные услуги (определяется ежеквартально как отношение штатных единиц специалистов основного профиля, фактически замещенных (внутреннее и внешнее совместительство), к общему их количеству; при результате: 100% и более - выполнено; от 90% до 100% - в целом выполнено; менее 90% - не выполнено)</t>
  </si>
  <si>
    <t>показатель качества 1</t>
  </si>
  <si>
    <t>показатель качества 2</t>
  </si>
  <si>
    <t>показатель качества 3</t>
  </si>
  <si>
    <t>показатель качества 4</t>
  </si>
  <si>
    <t>показатель качества 5</t>
  </si>
  <si>
    <t>доступность получения социальных услуг в организации (определяется за год по установленным критериям обеспечения доступности как отношение фактически достигнутой суммы баллов к максимально возможной; при результате: 100% и более - выполнено; от 90% до 100% - в целом выполнено; менее 90% - не выполнено)</t>
  </si>
  <si>
    <t>чел.</t>
  </si>
  <si>
    <t>востребованность услуги</t>
  </si>
  <si>
    <t>нарушения отсутствуют</t>
  </si>
  <si>
    <t>=100%</t>
  </si>
  <si>
    <t>Еди-ница
изме-рения</t>
  </si>
  <si>
    <t>Наименование учреждения, оказывающего услугу (выполняю-щего работу)</t>
  </si>
  <si>
    <t>объем услуг</t>
  </si>
  <si>
    <t>в том числе в форме:</t>
  </si>
  <si>
    <t>стационарной</t>
  </si>
  <si>
    <t>полустационарной</t>
  </si>
  <si>
    <t>на дому (очно)</t>
  </si>
  <si>
    <t>Наименование учреждения, услуги</t>
  </si>
  <si>
    <r>
      <t>ОЦ</t>
    </r>
    <r>
      <rPr>
        <vertAlign val="subscript"/>
        <sz val="12"/>
        <rFont val="Times New Roman"/>
        <family val="1"/>
        <charset val="204"/>
      </rPr>
      <t>итоговая</t>
    </r>
  </si>
  <si>
    <t>в том числе:</t>
  </si>
  <si>
    <t>1.1</t>
  </si>
  <si>
    <t>1.2</t>
  </si>
  <si>
    <t>в том числе по услугам:</t>
  </si>
  <si>
    <t>2.1</t>
  </si>
  <si>
    <t>2.2</t>
  </si>
  <si>
    <t>3.1</t>
  </si>
  <si>
    <t>3.2</t>
  </si>
  <si>
    <t>в форме социального обслуживания на дому (очно)</t>
  </si>
  <si>
    <t>3.3</t>
  </si>
  <si>
    <t>в форме социального обслуживания на дому (заочно)</t>
  </si>
  <si>
    <t>4.1</t>
  </si>
  <si>
    <t>4.2</t>
  </si>
  <si>
    <t>4.3</t>
  </si>
  <si>
    <t>5.1</t>
  </si>
  <si>
    <t>5.2</t>
  </si>
  <si>
    <t>5.3</t>
  </si>
  <si>
    <t>6</t>
  </si>
  <si>
    <t>6.1</t>
  </si>
  <si>
    <t>6.2</t>
  </si>
  <si>
    <t>6.3</t>
  </si>
  <si>
    <t>7.</t>
  </si>
  <si>
    <t>7.1</t>
  </si>
  <si>
    <t>7.2</t>
  </si>
  <si>
    <t>7.3</t>
  </si>
  <si>
    <t>8</t>
  </si>
  <si>
    <t>8.1</t>
  </si>
  <si>
    <t>8.2</t>
  </si>
  <si>
    <t>8.3</t>
  </si>
  <si>
    <t>9</t>
  </si>
  <si>
    <t>9.1</t>
  </si>
  <si>
    <t>9.2</t>
  </si>
  <si>
    <t>9.3</t>
  </si>
  <si>
    <t>10</t>
  </si>
  <si>
    <t>10.1</t>
  </si>
  <si>
    <t>10.2</t>
  </si>
  <si>
    <t>10.3</t>
  </si>
  <si>
    <t>11</t>
  </si>
  <si>
    <t>11.1</t>
  </si>
  <si>
    <t>11.2</t>
  </si>
  <si>
    <t>11.3</t>
  </si>
  <si>
    <t>12</t>
  </si>
  <si>
    <t>12.1</t>
  </si>
  <si>
    <t>12.2</t>
  </si>
  <si>
    <t>12.3</t>
  </si>
  <si>
    <t>13</t>
  </si>
  <si>
    <t>13.1</t>
  </si>
  <si>
    <t>13.2</t>
  </si>
  <si>
    <t>13.3</t>
  </si>
  <si>
    <t>14</t>
  </si>
  <si>
    <t>14.1</t>
  </si>
  <si>
    <t>14.2</t>
  </si>
  <si>
    <t>14.3</t>
  </si>
  <si>
    <t>соц.обслуживание в стационарной форме</t>
  </si>
  <si>
    <t>соц.обслуживание в полустационарной форме</t>
  </si>
  <si>
    <t>соц.обслуживание на дому (очно)</t>
  </si>
  <si>
    <t>услуга</t>
  </si>
  <si>
    <t>предоставление социального обслуживания в стационарной форме</t>
  </si>
  <si>
    <t>предоставление социального обслуживания в полустационарной форме</t>
  </si>
  <si>
    <t>предоставление социального обслуживания в форме на дому</t>
  </si>
  <si>
    <t>Предоставление социального обслуживания в стационарной форме</t>
  </si>
  <si>
    <t>Предоставление социального обслуживания в полустационарной форме</t>
  </si>
  <si>
    <t>Предоставление социального обслуживания в форме на дому</t>
  </si>
  <si>
    <t>занято 80 ед. из 80 штатных ед.</t>
  </si>
  <si>
    <t>занято 19 ед. из 20 штатных ед.</t>
  </si>
  <si>
    <t>занято 38 ед. из 42 штатных ед.</t>
  </si>
  <si>
    <t>отсутствовало движение получателей соц.услуг в связи с более длительным пребыванием</t>
  </si>
  <si>
    <t>план на год по Программе</t>
  </si>
  <si>
    <t>Оценка итоговая
Оцитоговая</t>
  </si>
  <si>
    <t>Заключение о выполнении муниципаль-ного задания муниципаль-ным учреждением</t>
  </si>
  <si>
    <r>
      <rPr>
        <sz val="12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 Указывается промежуточное плановое значение показателя исходя из распределения утвержденного в муниципальном задании годового значения показателя по кварталам нарастающим итогом</t>
    </r>
  </si>
  <si>
    <r>
      <t xml:space="preserve">Значение, утвержденное в муниципаль-ном задании на год
(К1плi, К2плi) </t>
    </r>
    <r>
      <rPr>
        <sz val="12"/>
        <rFont val="Times New Roman"/>
        <family val="1"/>
        <charset val="204"/>
      </rPr>
      <t>*</t>
    </r>
  </si>
  <si>
    <r>
      <t xml:space="preserve">Фактическое значение
за год
(К1фi, К2фi) </t>
    </r>
    <r>
      <rPr>
        <sz val="12"/>
        <rFont val="Times New Roman"/>
        <family val="1"/>
        <charset val="204"/>
      </rPr>
      <t>**</t>
    </r>
  </si>
  <si>
    <r>
      <rPr>
        <sz val="12"/>
        <rFont val="Times New Roman"/>
        <family val="1"/>
        <charset val="204"/>
      </rPr>
      <t>**</t>
    </r>
    <r>
      <rPr>
        <sz val="10"/>
        <rFont val="Times New Roman"/>
        <family val="1"/>
        <charset val="204"/>
      </rPr>
      <t xml:space="preserve"> Указывается фактическое значение показателя за отчетный период нарастающим итогом</t>
    </r>
  </si>
  <si>
    <t>доля получателей социальных услуг, получающих социальные услуги, от общего числа получателей социальных услуг, находящихся на социальном обслуживании в организации (определяется ежеквартально как отношение численности получателей социальных услуг, получивших хотя бы одну услугу (в том числе срочную) за отчетный период, к общей численности граждан, заключивших с организацией договор о социальном обслуживании (включая получателей срочных социальных услуг без заключения договора), за отчетный период; при результате: 100% и более - выполнено; от 90% до 100% - в целом выполнено; менее 90% - не выполнено)</t>
  </si>
  <si>
    <t>количество нарушений санитарного законодательства в отчетном году, выявленных при проведении проверок (определяется ежеквартально по количеству нарушений санитарного законодательства, выявленных при проведении проверок в отчетном периоде, за исключением своевременно устраненных и финансовоёмких; при результате: 0ед. - выполнено; не более 5ед. - в целом выполнено; более 5ед. - не выполнено)</t>
  </si>
  <si>
    <t>удовлетворенность получателей социальных услуг в оказанных социальных услугах (определяется за год по итогам ежегодных опросов «Декада качества» и «Неделя качества социальных услуг» как отношение численности получателей социальных услуг, ответивших «положительно» на вопрос о качестве, к общей численности получателей социальных услуг, ответивших на вопрос о качестве; при результате: 100% и более - выполнено; от 90% до 100% - в целом выполнено; менее 90% - не выполнено)</t>
  </si>
  <si>
    <t>показатель качества 6</t>
  </si>
  <si>
    <t>повышение качества социальных услуг и эффективности их оказания (определяется за год как отношение реализованных в полном объеме мероприятий, направленных на совершенствование деятельности организации при предоставлении социального обслуживания, к числу запланированных; при результате: 100% и более - выполнено; от 90% до 100% - в целом выполнено; менее 90% - не выполнено)</t>
  </si>
  <si>
    <t>численность граждан, получивших социальные услуги (определяется ежеквартально по данным, сформированным за отчетный период в информационной системе министерства социальной политики «Регистр получателей социальных услуг Красноярского края»; при результате: 100% и более - выполнено; от 90% до 100% - в целом выполнено; менее 90% - не выполнено)</t>
  </si>
  <si>
    <t>Начальник отдела планирования и бюджетного исполнения</t>
  </si>
  <si>
    <t>О.А. Антипкина</t>
  </si>
  <si>
    <t>объём зависит от количества направлений органов УВД, опеки, соцзащиты без учета повторных направлений</t>
  </si>
  <si>
    <t>занято 32 ед. из 35,5 штатных ед.</t>
  </si>
  <si>
    <t>занято 14 ед. из 15 штатных ед.</t>
  </si>
  <si>
    <t>занято 85 ед. из 85 штатных ед.</t>
  </si>
  <si>
    <t>занято 71 ед. из 71 штатных ед.</t>
  </si>
  <si>
    <t>занято 2 ед. из 2 штатных ед.</t>
  </si>
  <si>
    <t>Оценка выполнения муниципаль-ными учреждениями муниципаль-ного задания по каждому показателю
(К1i, К2i)</t>
  </si>
  <si>
    <t>Сводная оценка выполнения муниципаль-ными учрежде-ниями муници-пального зада-ния по показа-телям (качества, объема)
(К1, К2)</t>
  </si>
  <si>
    <t>обеспечена доступность на 8 баллов из 10</t>
  </si>
  <si>
    <t>обеспечена доступность на 10 баллов из 10</t>
  </si>
  <si>
    <t>обеспечена доступность на 9,8 баллов из 10</t>
  </si>
  <si>
    <t>обеспечена доступность на 9,4 баллов из 10</t>
  </si>
  <si>
    <t>услуги оказаны 150 получателям из 150 находящихся на соц.обслуживании; предоставляются исключительно по договору</t>
  </si>
  <si>
    <t>план 12 мес.</t>
  </si>
  <si>
    <t>факт 12 мес.</t>
  </si>
  <si>
    <t>Приложение</t>
  </si>
  <si>
    <t xml:space="preserve">СВОДНЫЙ ОТЧЕТ
о фактическом исполнении муниципальных заданий муниципальными учреждениями социального обслуживания за 2018 год </t>
  </si>
  <si>
    <t>Оценка выполнения муниципального задания в разрезе муниципальных учреждений социального обслуживания города Красноярска за 2018 год</t>
  </si>
  <si>
    <t>Анализ выполнения муниципального задания по формам социального обслуживания за 2018 год</t>
  </si>
  <si>
    <t>услуги оказаны 195 получателям из 195 находящихся на соц.обслуживании; предоставляются исключительно по договору</t>
  </si>
  <si>
    <t>услуги оказаны 732 получателям из 732 находящихся на соц.обслуживании, из них по договору 106 получателям</t>
  </si>
  <si>
    <t>услуги оказаны 2604 получателям из 2604 находящихся на соц.обслуживании, из них по договору 2598 получателям</t>
  </si>
  <si>
    <t>услуги оказаны 367 получателям из 367 находящихся на соц.обслуживании; предоставляются исключительно по договору</t>
  </si>
  <si>
    <t>услуги оказаны 2032 получателям из 2032 находящихся на соц.обслуживании, из них по договору 2021 получателю</t>
  </si>
  <si>
    <t>услуги оказаны 2196 получателям из 2196 находящихся на соц.обслуживании, из них по договору 2144 получателям</t>
  </si>
  <si>
    <t>услуги оказаны 25 получателям из 25 находящегося на соц.обслуживании; предоставляются исключительно по договору</t>
  </si>
  <si>
    <t>услуги оказаны 2072 получателям из 2072 находящихся на соц.обслуживании, из них по договору 2069 получателям</t>
  </si>
  <si>
    <t>услуги оказаны 1067 получателям из 1067 находящихся на соц.обслуживании, из них по договору 950 получателям</t>
  </si>
  <si>
    <t>услуги оказаны 799 получателям из 799 находящихся на соц.обслуживании; предоставляются исключительно по договору</t>
  </si>
  <si>
    <t>услуги оказаны 1848 получателям из 1848 находящихся на соц.обслуживании, из них по договору 575 получателям</t>
  </si>
  <si>
    <t>услуги оказаны 1109 получателям из 1109 находящихся на соц.обслуживании; предоставляются исключительно по договору</t>
  </si>
  <si>
    <t>услуги оказаны 2328 получателям из 2328 находящихся на соц.обслуживании, из них по договору 2102 получателям</t>
  </si>
  <si>
    <t>услуги оказаны 1260 получателям из 1260 находящихся на соц.обслуживании, из них по договору 298 получателям</t>
  </si>
  <si>
    <t>услуги оказаны 1288 получателям из 1288 находящихся на соц.обслуживании; предоставляются исключительно по договору</t>
  </si>
  <si>
    <t>услуги оказаны 1329 получателям из 1329 находящихся на соц.обслуживании, из них по договору 714 получателям</t>
  </si>
  <si>
    <t>услуги оказаны 881 получателю из 881 находящегося на соц.обслуживании; предоставляются исключительно по договору</t>
  </si>
  <si>
    <t>услуги оказаны 2392 получателям из 2392 находящихся на соц.обслуживании, из них по договору 1522 получателям</t>
  </si>
  <si>
    <t>услуги оказаны 1048 получателям из 1048 находящихся на соц.обслуживании; предоставляются исключительно по договору</t>
  </si>
  <si>
    <t>услуги оказаны 1575 получателям из 1575 находящихся на соц.обслуживании, из них по договору 850 получателям</t>
  </si>
  <si>
    <t>услуги оказаны 1208 получателям из 1208 находящихся на соц.обслуживании; предоставляются исключительно по договору</t>
  </si>
  <si>
    <t>услуги оказаны 2260 получателям из 2260 находящихся на соц.обслуживании, из них по договору 1161 получателю</t>
  </si>
  <si>
    <t>услуги оказаны 876 получателям из 876 находящихся на соц.обслуживании; предоставляются исключительно по договору</t>
  </si>
  <si>
    <t>занято 37,5 ед. из 39,5 штатных ед.</t>
  </si>
  <si>
    <t>занято 28 ед. из 28 штатных ед.</t>
  </si>
  <si>
    <t>занято 34,5 ед. из 38 штатных ед.</t>
  </si>
  <si>
    <t>занято 60 ед. из 60 штатных ед.</t>
  </si>
  <si>
    <t>занято 80 ед. из 81 штатных ед.</t>
  </si>
  <si>
    <t>занято 26,75 ед. из 29,5 штатных ед.</t>
  </si>
  <si>
    <t>73 получателя соцуслуг из 73 опрошенных ответили "+" на вопрос о качестве</t>
  </si>
  <si>
    <t>занято 61 ед. из 62 штатных ед.</t>
  </si>
  <si>
    <t>359 получателей соцуслуг из 359 опрошенных ответили "+" на вопрос о качестве</t>
  </si>
  <si>
    <t>84 получателя соцуслуг из 84 опрошенных ответили "+" на вопрос о качестве</t>
  </si>
  <si>
    <t>337 получателей соцуслуг из 337 опрошенных ответили "+" на вопрос о качестве</t>
  </si>
  <si>
    <t>27 получателей соцуслуг из 27 опрошенных ответили "+" на вопрос о качестве</t>
  </si>
  <si>
    <t>320 получателей соцуслуг из 320 опрошенных ответили "+" на вопрос о качестве</t>
  </si>
  <si>
    <t>79 получателей соцуслуг из 80 опрошенных ответили "+" на вопрос о качестве</t>
  </si>
  <si>
    <t>436 получателей соцуслуг из 441 опрошенного ответили "+" на вопрос о качестве</t>
  </si>
  <si>
    <t>579 получателей соцуслуг из 579 опрошенных ответили "+" на вопрос о качестве</t>
  </si>
  <si>
    <t>387 получателей соцуслуг из 387 опрошенных ответили "+" на вопрос о качестве</t>
  </si>
  <si>
    <t>173 получателя соцуслуг из 173 опрошенных ответили "+" на вопрос о качестве</t>
  </si>
  <si>
    <t>515 получателей соцуслуг из 515 опрошенных ответили "+" на вопрос о качестве</t>
  </si>
  <si>
    <t>105 получателей соцуслуг из 107 опрошенных ответили "+" на вопрос о качестве</t>
  </si>
  <si>
    <t>45 получателей соцуслуг из 45 опрошенных ответили "+" на вопрос о качестве</t>
  </si>
  <si>
    <t>выполнено 6 мероприятий из 6 запланированных</t>
  </si>
  <si>
    <t>выполнено 9 мероприятий из 9 запланированных</t>
  </si>
  <si>
    <t>выполнено 12 мероприятий из 12 запланированных</t>
  </si>
  <si>
    <t>выполнено 14 мероприятий из 14 запланированных</t>
  </si>
  <si>
    <t>выполнено 20 мероприятий из 20 запланированных</t>
  </si>
  <si>
    <t>выполнено 21 мероприятие из 21 запланированного</t>
  </si>
  <si>
    <t>выполнено 11 мероприятий из 11 запланированных</t>
  </si>
  <si>
    <t>выполнено 10 мероприятий из 10 запланированных</t>
  </si>
  <si>
    <t>выполнено 19 мероприятий из 19 запланированных</t>
  </si>
  <si>
    <t>выполнено 13 мероприятий из 13 запланированных</t>
  </si>
  <si>
    <t>обеспечена доступность на 9,3 балла из 10</t>
  </si>
  <si>
    <t>обеспечена доступность на 9,87 баллов из 10</t>
  </si>
  <si>
    <t>обеспечена доступность на 9,53 балла из 10</t>
  </si>
  <si>
    <t>обеспечена доступность на 8,8 баллов из 10</t>
  </si>
  <si>
    <t>179 получателей соцуслуг из 182 опрошенных ответили "+" на вопрос о качестве</t>
  </si>
  <si>
    <t>62 получателя соцуслуг из 63 опрошенных ответили "+" на вопрос о качестве</t>
  </si>
  <si>
    <t>занято 27,5 ед. из 30 штатных ед.</t>
  </si>
  <si>
    <t>занято 51,5 ед. из 53,5 штатных ед.</t>
  </si>
  <si>
    <t>2 нарушения устранены своевременно</t>
  </si>
  <si>
    <t>занято 106,75 ед. из 108,75 штатных ед.</t>
  </si>
  <si>
    <t>занято 10,5 ед. из 11,5 штатных ед.</t>
  </si>
  <si>
    <t>занято 22 ед. из 24 штатных ед.</t>
  </si>
  <si>
    <t>занято 46 ед. из 48 штатных ед.</t>
  </si>
  <si>
    <t>занято 74 ед. из 76,5 штатных ед.</t>
  </si>
  <si>
    <t>занято 6,5 ед. из 7 штатных ед.</t>
  </si>
  <si>
    <t>34 получателей соцуслуг из 35 опрошенных ответили "+" на вопрос о качестве</t>
  </si>
  <si>
    <t>26 получателей соцуслуг из 27 опрошенных ответили "+" на вопрос о качестве</t>
  </si>
  <si>
    <t>136 получателей соцуслуг из 136 опрошенных ответили "+" на вопрос о качестве</t>
  </si>
  <si>
    <t>294 получателя соцуслуг из 295 опрошенных ответили "+" на вопрос о качестве</t>
  </si>
  <si>
    <t>106 получателей соцуслуг из 110 опрошенных ответили "+" на вопрос о качестве</t>
  </si>
  <si>
    <t>274 получателя соцуслуг из 277 опрошенных ответили "+" на вопрос о качестве</t>
  </si>
  <si>
    <t>20 получателей соцуслуг из 20 опрошенных ответили "+" на вопрос о качестве</t>
  </si>
  <si>
    <t>81 получатель соцуслуг из 82 опрошенных ответили "+" на вопрос о качестве</t>
  </si>
  <si>
    <t>18 получателей соцуслуг из 18 опрошенных ответили "+" на вопрос о качестве</t>
  </si>
  <si>
    <t>выполнено 17 мероприятий из 17 запланированных</t>
  </si>
  <si>
    <t>выполнено 18 мероприятий из 18 запланированных</t>
  </si>
  <si>
    <t>выполнено 16 мероприятий из 16 запланированных</t>
  </si>
  <si>
    <t>выполнено 12 мероприятий из 12? запланированных</t>
  </si>
  <si>
    <t>выполнено 31 мероприятие из 31 запланированного</t>
  </si>
  <si>
    <t>выполнено 4 мероприятия из 4 запланированных</t>
  </si>
  <si>
    <t>обеспечена доступность на 6,79 баллов из 10</t>
  </si>
  <si>
    <t>обеспечена доступность на 9,2 балла из 10</t>
  </si>
  <si>
    <t>обеспечена доступность на 8,8 балла из 10</t>
  </si>
  <si>
    <t>обеспечена доступность на 9,1 балла из 10</t>
  </si>
  <si>
    <t>выполнено 26 мероприятий из 26 запланированных</t>
  </si>
  <si>
    <t>13 нарушений устранены своевременно</t>
  </si>
  <si>
    <t>1 нарушение устранено своевременно</t>
  </si>
  <si>
    <t>услуги оказаны 517 получателям из 517 находящихся на соц.обслуживании, из них по договору 187 получателям</t>
  </si>
  <si>
    <t>из 2 нарушений 1 не устранено в сумме 350,00тыс.р., является финансовоёмким; планируется устранить в 2019 году (предписанный срок устанения- 05.04.2020)</t>
  </si>
  <si>
    <t>из 17 нарушений 14 устранены, 3 нарушения в объеме 10,3млн.р. финансовоёмкие; срок устранения надзорным органом не установлен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</si>
</sst>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%"/>
  </numFmts>
  <fonts count="23" x14ac:knownFonts="1">
    <font>
      <sz val="11"/>
      <color theme="1"/>
      <name val="Calibri"/>
      <family val="2"/>
      <charset val="204"/>
      <scheme val="minor"/>
    </font>
    <font>
      <vertAlign val="subscript"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9.5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2" fillId="0" borderId="0" xfId="0" applyFont="1" applyFill="1" applyAlignment="1">
      <alignment vertical="top"/>
    </xf>
    <xf numFmtId="49" fontId="13" fillId="0" borderId="1" xfId="0" applyNumberFormat="1" applyFont="1" applyFill="1" applyBorder="1" applyAlignment="1">
      <alignment vertical="top"/>
    </xf>
    <xf numFmtId="172" fontId="13" fillId="0" borderId="1" xfId="0" applyNumberFormat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5" fillId="0" borderId="0" xfId="0" applyFont="1" applyFill="1" applyAlignment="1">
      <alignment vertical="top"/>
    </xf>
    <xf numFmtId="0" fontId="12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right" vertical="top"/>
    </xf>
    <xf numFmtId="0" fontId="16" fillId="0" borderId="0" xfId="0" applyFont="1" applyFill="1" applyAlignment="1">
      <alignment vertical="top"/>
    </xf>
    <xf numFmtId="0" fontId="12" fillId="0" borderId="0" xfId="0" applyFont="1" applyFill="1"/>
    <xf numFmtId="0" fontId="0" fillId="0" borderId="0" xfId="0" applyFill="1"/>
    <xf numFmtId="0" fontId="16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1" xfId="0" applyFont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10" fontId="17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17" fillId="0" borderId="0" xfId="0" applyFont="1"/>
    <xf numFmtId="10" fontId="7" fillId="0" borderId="1" xfId="0" applyNumberFormat="1" applyFont="1" applyBorder="1" applyAlignment="1">
      <alignment vertical="top"/>
    </xf>
    <xf numFmtId="10" fontId="7" fillId="0" borderId="1" xfId="0" applyNumberFormat="1" applyFont="1" applyBorder="1" applyAlignment="1">
      <alignment vertical="top" wrapText="1"/>
    </xf>
    <xf numFmtId="0" fontId="1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2" fontId="6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172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172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Alignment="1">
      <alignment horizontal="right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17" fillId="0" borderId="0" xfId="0" applyFont="1" applyFill="1"/>
    <xf numFmtId="0" fontId="10" fillId="0" borderId="1" xfId="0" applyFont="1" applyFill="1" applyBorder="1" applyAlignment="1">
      <alignment vertical="center"/>
    </xf>
    <xf numFmtId="0" fontId="5" fillId="0" borderId="0" xfId="0" applyFont="1" applyAlignment="1">
      <alignment horizontal="right" vertical="top"/>
    </xf>
    <xf numFmtId="172" fontId="20" fillId="0" borderId="1" xfId="0" applyNumberFormat="1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10" fontId="9" fillId="0" borderId="0" xfId="0" applyNumberFormat="1" applyFont="1" applyBorder="1" applyAlignment="1">
      <alignment vertical="top" wrapText="1"/>
    </xf>
    <xf numFmtId="10" fontId="9" fillId="0" borderId="0" xfId="0" applyNumberFormat="1" applyFont="1" applyBorder="1" applyAlignment="1">
      <alignment vertical="top"/>
    </xf>
    <xf numFmtId="0" fontId="14" fillId="0" borderId="1" xfId="0" applyFont="1" applyFill="1" applyBorder="1" applyAlignment="1">
      <alignment vertical="top" wrapText="1"/>
    </xf>
    <xf numFmtId="3" fontId="4" fillId="0" borderId="0" xfId="0" applyNumberFormat="1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17" fillId="0" borderId="3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0" fontId="7" fillId="0" borderId="2" xfId="0" applyNumberFormat="1" applyFont="1" applyBorder="1" applyAlignment="1">
      <alignment vertical="top"/>
    </xf>
    <xf numFmtId="10" fontId="7" fillId="0" borderId="3" xfId="0" applyNumberFormat="1" applyFont="1" applyBorder="1" applyAlignment="1">
      <alignment vertical="top"/>
    </xf>
    <xf numFmtId="0" fontId="19" fillId="0" borderId="3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0" fontId="7" fillId="0" borderId="4" xfId="0" applyNumberFormat="1" applyFont="1" applyBorder="1" applyAlignment="1">
      <alignment vertical="top"/>
    </xf>
    <xf numFmtId="0" fontId="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17" fillId="0" borderId="7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4"/>
  <sheetViews>
    <sheetView tabSelected="1" zoomScale="80" zoomScaleNormal="80" workbookViewId="0"/>
  </sheetViews>
  <sheetFormatPr defaultColWidth="9.109375" defaultRowHeight="14.4" x14ac:dyDescent="0.3"/>
  <cols>
    <col min="1" max="1" width="12.5546875" style="24" customWidth="1"/>
    <col min="2" max="2" width="13.44140625" style="24" customWidth="1"/>
    <col min="3" max="3" width="8.109375" style="24" customWidth="1"/>
    <col min="4" max="4" width="10.5546875" style="24" customWidth="1"/>
    <col min="5" max="5" width="61.5546875" style="24" customWidth="1"/>
    <col min="6" max="6" width="6.109375" style="24" customWidth="1"/>
    <col min="7" max="7" width="11.88671875" style="24" customWidth="1"/>
    <col min="8" max="8" width="10.5546875" style="24" customWidth="1"/>
    <col min="9" max="9" width="12.33203125" style="24" customWidth="1"/>
    <col min="10" max="10" width="13.33203125" style="24" customWidth="1"/>
    <col min="11" max="11" width="12.109375" style="24" customWidth="1"/>
    <col min="12" max="12" width="11.6640625" style="24" customWidth="1"/>
    <col min="13" max="13" width="21.33203125" style="24" customWidth="1"/>
    <col min="14" max="16384" width="9.109375" style="24"/>
  </cols>
  <sheetData>
    <row r="1" spans="1:13" s="28" customFormat="1" ht="13.8" x14ac:dyDescent="0.3">
      <c r="M1" s="29" t="s">
        <v>160</v>
      </c>
    </row>
    <row r="2" spans="1:13" s="27" customFormat="1" ht="40.5" customHeight="1" x14ac:dyDescent="0.3">
      <c r="A2" s="89" t="s">
        <v>161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17" customFormat="1" ht="13.2" x14ac:dyDescent="0.3"/>
    <row r="4" spans="1:13" s="19" customFormat="1" ht="139.5" customHeight="1" x14ac:dyDescent="0.3">
      <c r="A4" s="18" t="s">
        <v>55</v>
      </c>
      <c r="B4" s="18" t="s">
        <v>35</v>
      </c>
      <c r="C4" s="18" t="s">
        <v>36</v>
      </c>
      <c r="D4" s="18" t="s">
        <v>37</v>
      </c>
      <c r="E4" s="18" t="s">
        <v>38</v>
      </c>
      <c r="F4" s="18" t="s">
        <v>54</v>
      </c>
      <c r="G4" s="18" t="s">
        <v>134</v>
      </c>
      <c r="H4" s="18" t="s">
        <v>135</v>
      </c>
      <c r="I4" s="18" t="s">
        <v>151</v>
      </c>
      <c r="J4" s="18" t="s">
        <v>152</v>
      </c>
      <c r="K4" s="18" t="s">
        <v>131</v>
      </c>
      <c r="L4" s="18" t="s">
        <v>132</v>
      </c>
      <c r="M4" s="18" t="s">
        <v>40</v>
      </c>
    </row>
    <row r="5" spans="1:13" s="21" customFormat="1" ht="10.199999999999999" x14ac:dyDescent="0.3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0">
        <v>6</v>
      </c>
      <c r="G5" s="20">
        <v>7</v>
      </c>
      <c r="H5" s="20">
        <v>8</v>
      </c>
      <c r="I5" s="20">
        <v>9</v>
      </c>
      <c r="J5" s="20">
        <v>10</v>
      </c>
      <c r="K5" s="20">
        <v>11</v>
      </c>
      <c r="L5" s="20">
        <v>12</v>
      </c>
      <c r="M5" s="20">
        <v>13</v>
      </c>
    </row>
    <row r="6" spans="1:13" s="19" customFormat="1" ht="106.5" customHeight="1" x14ac:dyDescent="0.3">
      <c r="A6" s="75" t="s">
        <v>19</v>
      </c>
      <c r="B6" s="87" t="s">
        <v>120</v>
      </c>
      <c r="C6" s="79" t="s">
        <v>119</v>
      </c>
      <c r="D6" s="16" t="s">
        <v>44</v>
      </c>
      <c r="E6" s="68" t="s">
        <v>137</v>
      </c>
      <c r="F6" s="18" t="s">
        <v>41</v>
      </c>
      <c r="G6" s="25">
        <v>1</v>
      </c>
      <c r="H6" s="25">
        <f>H12/H12</f>
        <v>1</v>
      </c>
      <c r="I6" s="26">
        <f>ROUND(IF(H6/G6&gt;100%,100%,H6/G6),0)</f>
        <v>1</v>
      </c>
      <c r="J6" s="80">
        <f>(I6+I7+I8)/3</f>
        <v>1</v>
      </c>
      <c r="K6" s="80">
        <f>(J6+J12)/2</f>
        <v>1</v>
      </c>
      <c r="L6" s="91" t="str">
        <f>IF(K6&lt;90%,"не выполнено",IF(K6&lt;100%,"в целом выполнено","выполнено"))</f>
        <v>выполнено</v>
      </c>
      <c r="M6" s="16" t="s">
        <v>164</v>
      </c>
    </row>
    <row r="7" spans="1:13" s="19" customFormat="1" ht="78.75" customHeight="1" x14ac:dyDescent="0.3">
      <c r="A7" s="76"/>
      <c r="B7" s="77"/>
      <c r="C7" s="79"/>
      <c r="D7" s="16" t="s">
        <v>45</v>
      </c>
      <c r="E7" s="68" t="s">
        <v>138</v>
      </c>
      <c r="F7" s="18" t="s">
        <v>42</v>
      </c>
      <c r="G7" s="69">
        <v>0</v>
      </c>
      <c r="H7" s="69">
        <f>17-14-3</f>
        <v>0</v>
      </c>
      <c r="I7" s="25">
        <f>IF(H7=0,100%,IF(H7=1,98%,IF(H7=2,96%,IF(H7=3,94%,IF(H7=4,92%,IF(H7=5,90%,89.9%))))))</f>
        <v>1</v>
      </c>
      <c r="J7" s="81"/>
      <c r="K7" s="81"/>
      <c r="L7" s="91"/>
      <c r="M7" s="107" t="s">
        <v>257</v>
      </c>
    </row>
    <row r="8" spans="1:13" s="19" customFormat="1" ht="65.25" customHeight="1" x14ac:dyDescent="0.3">
      <c r="A8" s="76"/>
      <c r="B8" s="77"/>
      <c r="C8" s="79"/>
      <c r="D8" s="16" t="s">
        <v>46</v>
      </c>
      <c r="E8" s="68" t="s">
        <v>43</v>
      </c>
      <c r="F8" s="18" t="s">
        <v>41</v>
      </c>
      <c r="G8" s="26">
        <v>0.9</v>
      </c>
      <c r="H8" s="26">
        <f>51.5/53.5</f>
        <v>0.96261682242990654</v>
      </c>
      <c r="I8" s="26">
        <f>IF(H8&lt;90%,89.9%,100%)</f>
        <v>1</v>
      </c>
      <c r="J8" s="81"/>
      <c r="K8" s="81"/>
      <c r="L8" s="91"/>
      <c r="M8" s="16" t="s">
        <v>225</v>
      </c>
    </row>
    <row r="9" spans="1:13" s="19" customFormat="1" ht="90.75" customHeight="1" x14ac:dyDescent="0.3">
      <c r="A9" s="76"/>
      <c r="B9" s="77"/>
      <c r="C9" s="79"/>
      <c r="D9" s="16" t="s">
        <v>47</v>
      </c>
      <c r="E9" s="68" t="s">
        <v>139</v>
      </c>
      <c r="F9" s="18" t="s">
        <v>41</v>
      </c>
      <c r="G9" s="26">
        <v>0.9</v>
      </c>
      <c r="H9" s="26">
        <f>179/182</f>
        <v>0.98351648351648346</v>
      </c>
      <c r="I9" s="26">
        <f>IF(H9/G9&gt;100%,100%,H9/G9)</f>
        <v>1</v>
      </c>
      <c r="J9" s="81"/>
      <c r="K9" s="81"/>
      <c r="L9" s="91"/>
      <c r="M9" s="16" t="s">
        <v>222</v>
      </c>
    </row>
    <row r="10" spans="1:13" s="19" customFormat="1" ht="69.75" customHeight="1" x14ac:dyDescent="0.3">
      <c r="A10" s="76"/>
      <c r="B10" s="77"/>
      <c r="C10" s="79"/>
      <c r="D10" s="16" t="s">
        <v>48</v>
      </c>
      <c r="E10" s="68" t="s">
        <v>141</v>
      </c>
      <c r="F10" s="18" t="s">
        <v>41</v>
      </c>
      <c r="G10" s="26">
        <v>1</v>
      </c>
      <c r="H10" s="26">
        <f>9/9</f>
        <v>1</v>
      </c>
      <c r="I10" s="26">
        <f>IF(H10/G10&gt;100%,100%,H10/G10)</f>
        <v>1</v>
      </c>
      <c r="J10" s="81"/>
      <c r="K10" s="81"/>
      <c r="L10" s="91"/>
      <c r="M10" s="16" t="s">
        <v>209</v>
      </c>
    </row>
    <row r="11" spans="1:13" s="19" customFormat="1" ht="55.5" customHeight="1" x14ac:dyDescent="0.3">
      <c r="A11" s="76"/>
      <c r="B11" s="77"/>
      <c r="C11" s="79"/>
      <c r="D11" s="16" t="s">
        <v>140</v>
      </c>
      <c r="E11" s="68" t="s">
        <v>49</v>
      </c>
      <c r="F11" s="18" t="s">
        <v>41</v>
      </c>
      <c r="G11" s="26">
        <v>0.8</v>
      </c>
      <c r="H11" s="26">
        <f>8.8/10</f>
        <v>0.88000000000000012</v>
      </c>
      <c r="I11" s="26">
        <f>IF(H11/G11&gt;100%,100%,H11/G11)</f>
        <v>1</v>
      </c>
      <c r="J11" s="88"/>
      <c r="K11" s="81"/>
      <c r="L11" s="91"/>
      <c r="M11" s="16" t="s">
        <v>221</v>
      </c>
    </row>
    <row r="12" spans="1:13" s="19" customFormat="1" ht="66.75" customHeight="1" x14ac:dyDescent="0.3">
      <c r="A12" s="76"/>
      <c r="B12" s="77"/>
      <c r="C12" s="79"/>
      <c r="D12" s="16" t="s">
        <v>39</v>
      </c>
      <c r="E12" s="68" t="s">
        <v>142</v>
      </c>
      <c r="F12" s="18" t="s">
        <v>50</v>
      </c>
      <c r="G12" s="70">
        <v>190</v>
      </c>
      <c r="H12" s="70">
        <v>195</v>
      </c>
      <c r="I12" s="26">
        <f>IF(H12/G12&gt;100%,100%,H12/G12)</f>
        <v>1</v>
      </c>
      <c r="J12" s="26">
        <f>I12</f>
        <v>1</v>
      </c>
      <c r="K12" s="88"/>
      <c r="L12" s="91"/>
      <c r="M12" s="16" t="s">
        <v>51</v>
      </c>
    </row>
    <row r="13" spans="1:13" s="19" customFormat="1" ht="106.5" customHeight="1" x14ac:dyDescent="0.3">
      <c r="A13" s="76"/>
      <c r="B13" s="87" t="s">
        <v>121</v>
      </c>
      <c r="C13" s="79" t="s">
        <v>119</v>
      </c>
      <c r="D13" s="16" t="s">
        <v>44</v>
      </c>
      <c r="E13" s="68" t="s">
        <v>137</v>
      </c>
      <c r="F13" s="18" t="s">
        <v>41</v>
      </c>
      <c r="G13" s="25">
        <v>1</v>
      </c>
      <c r="H13" s="25">
        <f>H19/(H19)</f>
        <v>1</v>
      </c>
      <c r="I13" s="26">
        <f>IF(H13/G13&gt;100%,100%,H13/G13)</f>
        <v>1</v>
      </c>
      <c r="J13" s="80">
        <f>(I13+I14+I15)/3</f>
        <v>1</v>
      </c>
      <c r="K13" s="80">
        <f>(J13+J19)/2</f>
        <v>0.97431192660550459</v>
      </c>
      <c r="L13" s="91" t="str">
        <f>IF(K13&lt;90%,"не выполнено",IF(K13&lt;100%,"в целом выполнено","выполнено"))</f>
        <v>в целом выполнено</v>
      </c>
      <c r="M13" s="16" t="s">
        <v>255</v>
      </c>
    </row>
    <row r="14" spans="1:13" s="19" customFormat="1" ht="78.75" customHeight="1" x14ac:dyDescent="0.3">
      <c r="A14" s="76"/>
      <c r="B14" s="77"/>
      <c r="C14" s="79"/>
      <c r="D14" s="16" t="s">
        <v>45</v>
      </c>
      <c r="E14" s="68" t="s">
        <v>138</v>
      </c>
      <c r="F14" s="18" t="s">
        <v>42</v>
      </c>
      <c r="G14" s="69">
        <v>0</v>
      </c>
      <c r="H14" s="69">
        <f>17-14-3</f>
        <v>0</v>
      </c>
      <c r="I14" s="25">
        <f>IF(H14=0,100%,IF(H14=1,98%,IF(H14=2,96%,IF(H14=3,94%,IF(H14=4,92%,IF(H14=5,90%,89.9%))))))</f>
        <v>1</v>
      </c>
      <c r="J14" s="81"/>
      <c r="K14" s="81"/>
      <c r="L14" s="91"/>
      <c r="M14" s="107" t="s">
        <v>257</v>
      </c>
    </row>
    <row r="15" spans="1:13" s="19" customFormat="1" ht="65.25" customHeight="1" x14ac:dyDescent="0.3">
      <c r="A15" s="76"/>
      <c r="B15" s="77"/>
      <c r="C15" s="79"/>
      <c r="D15" s="16" t="s">
        <v>46</v>
      </c>
      <c r="E15" s="68" t="s">
        <v>43</v>
      </c>
      <c r="F15" s="18" t="s">
        <v>41</v>
      </c>
      <c r="G15" s="26">
        <v>0.9</v>
      </c>
      <c r="H15" s="26">
        <f>27.5/30</f>
        <v>0.91666666666666663</v>
      </c>
      <c r="I15" s="26">
        <f>IF(H15&lt;90%,89.9%,100%)</f>
        <v>1</v>
      </c>
      <c r="J15" s="81"/>
      <c r="K15" s="81"/>
      <c r="L15" s="91"/>
      <c r="M15" s="16" t="s">
        <v>224</v>
      </c>
    </row>
    <row r="16" spans="1:13" s="19" customFormat="1" ht="90.75" customHeight="1" x14ac:dyDescent="0.3">
      <c r="A16" s="76"/>
      <c r="B16" s="77"/>
      <c r="C16" s="79"/>
      <c r="D16" s="16" t="s">
        <v>47</v>
      </c>
      <c r="E16" s="68" t="s">
        <v>139</v>
      </c>
      <c r="F16" s="18" t="s">
        <v>41</v>
      </c>
      <c r="G16" s="26">
        <v>0.9</v>
      </c>
      <c r="H16" s="26">
        <f>62/63</f>
        <v>0.98412698412698407</v>
      </c>
      <c r="I16" s="26">
        <f>IF(H16/G16&gt;100%,100%,H16/G16)</f>
        <v>1</v>
      </c>
      <c r="J16" s="81"/>
      <c r="K16" s="81"/>
      <c r="L16" s="91"/>
      <c r="M16" s="16" t="s">
        <v>223</v>
      </c>
    </row>
    <row r="17" spans="1:13" s="19" customFormat="1" ht="69.75" customHeight="1" x14ac:dyDescent="0.3">
      <c r="A17" s="76"/>
      <c r="B17" s="77"/>
      <c r="C17" s="79"/>
      <c r="D17" s="16" t="s">
        <v>48</v>
      </c>
      <c r="E17" s="68" t="s">
        <v>141</v>
      </c>
      <c r="F17" s="18" t="s">
        <v>41</v>
      </c>
      <c r="G17" s="26">
        <v>1</v>
      </c>
      <c r="H17" s="26">
        <f>9/9</f>
        <v>1</v>
      </c>
      <c r="I17" s="26">
        <f>IF(H17/G17&gt;100%,100%,H17/G17)</f>
        <v>1</v>
      </c>
      <c r="J17" s="81"/>
      <c r="K17" s="81"/>
      <c r="L17" s="91"/>
      <c r="M17" s="16" t="s">
        <v>209</v>
      </c>
    </row>
    <row r="18" spans="1:13" s="19" customFormat="1" ht="55.5" customHeight="1" x14ac:dyDescent="0.3">
      <c r="A18" s="76"/>
      <c r="B18" s="77"/>
      <c r="C18" s="79"/>
      <c r="D18" s="16" t="s">
        <v>140</v>
      </c>
      <c r="E18" s="68" t="s">
        <v>49</v>
      </c>
      <c r="F18" s="18" t="s">
        <v>41</v>
      </c>
      <c r="G18" s="26">
        <v>0.8</v>
      </c>
      <c r="H18" s="26">
        <f>8.8/10</f>
        <v>0.88000000000000012</v>
      </c>
      <c r="I18" s="26">
        <f>IF(H18/G18&gt;100%,100%,H18/G18)</f>
        <v>1</v>
      </c>
      <c r="J18" s="88"/>
      <c r="K18" s="81"/>
      <c r="L18" s="91"/>
      <c r="M18" s="16" t="s">
        <v>221</v>
      </c>
    </row>
    <row r="19" spans="1:13" s="19" customFormat="1" ht="66.75" customHeight="1" x14ac:dyDescent="0.3">
      <c r="A19" s="92"/>
      <c r="B19" s="77"/>
      <c r="C19" s="79"/>
      <c r="D19" s="16" t="s">
        <v>39</v>
      </c>
      <c r="E19" s="68" t="s">
        <v>142</v>
      </c>
      <c r="F19" s="18" t="s">
        <v>50</v>
      </c>
      <c r="G19" s="70">
        <f>1+544</f>
        <v>545</v>
      </c>
      <c r="H19" s="70">
        <f>3+514</f>
        <v>517</v>
      </c>
      <c r="I19" s="26">
        <f t="shared" ref="I19:I33" si="0">IF(H19/G19&gt;100%,100%,H19/G19)</f>
        <v>0.94862385321100917</v>
      </c>
      <c r="J19" s="26">
        <f>I19</f>
        <v>0.94862385321100917</v>
      </c>
      <c r="K19" s="88"/>
      <c r="L19" s="91"/>
      <c r="M19" s="16" t="s">
        <v>129</v>
      </c>
    </row>
    <row r="20" spans="1:13" s="19" customFormat="1" ht="106.5" customHeight="1" x14ac:dyDescent="0.3">
      <c r="A20" s="75" t="s">
        <v>18</v>
      </c>
      <c r="B20" s="87" t="s">
        <v>120</v>
      </c>
      <c r="C20" s="79" t="s">
        <v>119</v>
      </c>
      <c r="D20" s="16" t="s">
        <v>44</v>
      </c>
      <c r="E20" s="68" t="s">
        <v>137</v>
      </c>
      <c r="F20" s="18" t="s">
        <v>41</v>
      </c>
      <c r="G20" s="25">
        <v>1</v>
      </c>
      <c r="H20" s="25">
        <f>H26/H26</f>
        <v>1</v>
      </c>
      <c r="I20" s="26">
        <f t="shared" si="0"/>
        <v>1</v>
      </c>
      <c r="J20" s="80">
        <f>(I20+I21+I22)/3</f>
        <v>1</v>
      </c>
      <c r="K20" s="80">
        <f>(J20+J26)/2</f>
        <v>1</v>
      </c>
      <c r="L20" s="91" t="str">
        <f>IF(K20&lt;90%,"не выполнено",IF(K20&lt;100%,"в целом выполнено","выполнено"))</f>
        <v>выполнено</v>
      </c>
      <c r="M20" s="16" t="s">
        <v>167</v>
      </c>
    </row>
    <row r="21" spans="1:13" s="19" customFormat="1" ht="78.75" customHeight="1" x14ac:dyDescent="0.3">
      <c r="A21" s="76"/>
      <c r="B21" s="77"/>
      <c r="C21" s="79"/>
      <c r="D21" s="16" t="s">
        <v>45</v>
      </c>
      <c r="E21" s="68" t="s">
        <v>138</v>
      </c>
      <c r="F21" s="18" t="s">
        <v>42</v>
      </c>
      <c r="G21" s="69">
        <v>0</v>
      </c>
      <c r="H21" s="69">
        <f>13-13</f>
        <v>0</v>
      </c>
      <c r="I21" s="25">
        <f>IF(H21=0,100%,IF(H21=1,98%,IF(H21=2,96%,IF(H21=3,94%,IF(H21=4,92%,IF(H21=5,90%,89.9%))))))</f>
        <v>1</v>
      </c>
      <c r="J21" s="81"/>
      <c r="K21" s="81"/>
      <c r="L21" s="91"/>
      <c r="M21" s="60" t="s">
        <v>253</v>
      </c>
    </row>
    <row r="22" spans="1:13" s="19" customFormat="1" ht="65.25" customHeight="1" x14ac:dyDescent="0.3">
      <c r="A22" s="76"/>
      <c r="B22" s="77"/>
      <c r="C22" s="79"/>
      <c r="D22" s="16" t="s">
        <v>46</v>
      </c>
      <c r="E22" s="68" t="s">
        <v>43</v>
      </c>
      <c r="F22" s="18" t="s">
        <v>41</v>
      </c>
      <c r="G22" s="26">
        <v>0.9</v>
      </c>
      <c r="H22" s="26">
        <f>106.75/108.75</f>
        <v>0.98160919540229885</v>
      </c>
      <c r="I22" s="26">
        <f>IF(H22&lt;90%,89.9%,100%)</f>
        <v>1</v>
      </c>
      <c r="J22" s="81"/>
      <c r="K22" s="81"/>
      <c r="L22" s="91"/>
      <c r="M22" s="16" t="s">
        <v>227</v>
      </c>
    </row>
    <row r="23" spans="1:13" s="19" customFormat="1" ht="90.75" customHeight="1" x14ac:dyDescent="0.3">
      <c r="A23" s="76"/>
      <c r="B23" s="77"/>
      <c r="C23" s="79"/>
      <c r="D23" s="16" t="s">
        <v>47</v>
      </c>
      <c r="E23" s="68" t="s">
        <v>139</v>
      </c>
      <c r="F23" s="18" t="s">
        <v>41</v>
      </c>
      <c r="G23" s="26">
        <v>0.9</v>
      </c>
      <c r="H23" s="26">
        <f>34/35</f>
        <v>0.97142857142857142</v>
      </c>
      <c r="I23" s="26">
        <f t="shared" si="0"/>
        <v>1</v>
      </c>
      <c r="J23" s="81"/>
      <c r="K23" s="81"/>
      <c r="L23" s="91"/>
      <c r="M23" s="16" t="s">
        <v>233</v>
      </c>
    </row>
    <row r="24" spans="1:13" s="19" customFormat="1" ht="69.75" customHeight="1" x14ac:dyDescent="0.3">
      <c r="A24" s="76"/>
      <c r="B24" s="77"/>
      <c r="C24" s="79"/>
      <c r="D24" s="16" t="s">
        <v>48</v>
      </c>
      <c r="E24" s="68" t="s">
        <v>141</v>
      </c>
      <c r="F24" s="18" t="s">
        <v>41</v>
      </c>
      <c r="G24" s="26">
        <v>1</v>
      </c>
      <c r="H24" s="26">
        <f>17/17</f>
        <v>1</v>
      </c>
      <c r="I24" s="26">
        <f t="shared" si="0"/>
        <v>1</v>
      </c>
      <c r="J24" s="81"/>
      <c r="K24" s="81"/>
      <c r="L24" s="91"/>
      <c r="M24" s="16" t="s">
        <v>242</v>
      </c>
    </row>
    <row r="25" spans="1:13" s="19" customFormat="1" ht="55.5" customHeight="1" x14ac:dyDescent="0.3">
      <c r="A25" s="76"/>
      <c r="B25" s="77"/>
      <c r="C25" s="79"/>
      <c r="D25" s="16" t="s">
        <v>140</v>
      </c>
      <c r="E25" s="68" t="s">
        <v>49</v>
      </c>
      <c r="F25" s="18" t="s">
        <v>41</v>
      </c>
      <c r="G25" s="26">
        <f>6.5/10</f>
        <v>0.65</v>
      </c>
      <c r="H25" s="26">
        <f>8.8/10</f>
        <v>0.88000000000000012</v>
      </c>
      <c r="I25" s="26">
        <f t="shared" si="0"/>
        <v>1</v>
      </c>
      <c r="J25" s="88"/>
      <c r="K25" s="81"/>
      <c r="L25" s="91"/>
      <c r="M25" s="16" t="s">
        <v>221</v>
      </c>
    </row>
    <row r="26" spans="1:13" s="19" customFormat="1" ht="66.75" customHeight="1" x14ac:dyDescent="0.3">
      <c r="A26" s="76"/>
      <c r="B26" s="77"/>
      <c r="C26" s="79"/>
      <c r="D26" s="16" t="s">
        <v>39</v>
      </c>
      <c r="E26" s="68" t="s">
        <v>142</v>
      </c>
      <c r="F26" s="18" t="s">
        <v>50</v>
      </c>
      <c r="G26" s="70">
        <v>355</v>
      </c>
      <c r="H26" s="74">
        <v>376</v>
      </c>
      <c r="I26" s="26">
        <f t="shared" si="0"/>
        <v>1</v>
      </c>
      <c r="J26" s="26">
        <f>I26</f>
        <v>1</v>
      </c>
      <c r="K26" s="88"/>
      <c r="L26" s="91"/>
      <c r="M26" s="16" t="s">
        <v>145</v>
      </c>
    </row>
    <row r="27" spans="1:13" s="19" customFormat="1" ht="106.5" customHeight="1" x14ac:dyDescent="0.3">
      <c r="A27" s="76"/>
      <c r="B27" s="87" t="s">
        <v>121</v>
      </c>
      <c r="C27" s="79" t="s">
        <v>119</v>
      </c>
      <c r="D27" s="16" t="s">
        <v>44</v>
      </c>
      <c r="E27" s="68" t="s">
        <v>137</v>
      </c>
      <c r="F27" s="18" t="s">
        <v>41</v>
      </c>
      <c r="G27" s="25">
        <v>1</v>
      </c>
      <c r="H27" s="25">
        <f>H33/(H33+0)</f>
        <v>1</v>
      </c>
      <c r="I27" s="26">
        <f t="shared" si="0"/>
        <v>1</v>
      </c>
      <c r="J27" s="80">
        <f>(I27+I28+I29)/3</f>
        <v>1</v>
      </c>
      <c r="K27" s="80">
        <f>(J27+J33)/2</f>
        <v>1</v>
      </c>
      <c r="L27" s="91" t="str">
        <f>IF(K27&lt;90%,"не выполнено",IF(K27&lt;100%,"в целом выполнено","выполнено"))</f>
        <v>выполнено</v>
      </c>
      <c r="M27" s="16" t="s">
        <v>165</v>
      </c>
    </row>
    <row r="28" spans="1:13" s="19" customFormat="1" ht="78.75" customHeight="1" x14ac:dyDescent="0.3">
      <c r="A28" s="76"/>
      <c r="B28" s="77"/>
      <c r="C28" s="79"/>
      <c r="D28" s="16" t="s">
        <v>45</v>
      </c>
      <c r="E28" s="68" t="s">
        <v>138</v>
      </c>
      <c r="F28" s="18" t="s">
        <v>42</v>
      </c>
      <c r="G28" s="69">
        <v>0</v>
      </c>
      <c r="H28" s="69">
        <f>13-13</f>
        <v>0</v>
      </c>
      <c r="I28" s="25">
        <f>IF(H28=0,100%,IF(H28=1,98%,IF(H28=2,96%,IF(H28=3,94%,IF(H28=4,92%,IF(H28=5,90%,89.9%))))))</f>
        <v>1</v>
      </c>
      <c r="J28" s="81"/>
      <c r="K28" s="81"/>
      <c r="L28" s="91"/>
      <c r="M28" s="60" t="s">
        <v>253</v>
      </c>
    </row>
    <row r="29" spans="1:13" s="19" customFormat="1" ht="65.25" customHeight="1" x14ac:dyDescent="0.3">
      <c r="A29" s="76"/>
      <c r="B29" s="77"/>
      <c r="C29" s="79"/>
      <c r="D29" s="16" t="s">
        <v>46</v>
      </c>
      <c r="E29" s="68" t="s">
        <v>43</v>
      </c>
      <c r="F29" s="18" t="s">
        <v>41</v>
      </c>
      <c r="G29" s="26">
        <v>0.9</v>
      </c>
      <c r="H29" s="26">
        <f>10.5/11.5</f>
        <v>0.91304347826086951</v>
      </c>
      <c r="I29" s="26">
        <f>IF(H29&lt;90%,89.9%,100%)</f>
        <v>1</v>
      </c>
      <c r="J29" s="81"/>
      <c r="K29" s="81"/>
      <c r="L29" s="91"/>
      <c r="M29" s="16" t="s">
        <v>228</v>
      </c>
    </row>
    <row r="30" spans="1:13" s="19" customFormat="1" ht="90.75" customHeight="1" x14ac:dyDescent="0.3">
      <c r="A30" s="76"/>
      <c r="B30" s="77"/>
      <c r="C30" s="79"/>
      <c r="D30" s="16" t="s">
        <v>47</v>
      </c>
      <c r="E30" s="68" t="s">
        <v>139</v>
      </c>
      <c r="F30" s="18" t="s">
        <v>41</v>
      </c>
      <c r="G30" s="26">
        <v>0.9</v>
      </c>
      <c r="H30" s="26">
        <f>26/27</f>
        <v>0.96296296296296291</v>
      </c>
      <c r="I30" s="26">
        <f>IF(H30/G30&gt;100%,100%,H30/G30)</f>
        <v>1</v>
      </c>
      <c r="J30" s="81"/>
      <c r="K30" s="81"/>
      <c r="L30" s="91"/>
      <c r="M30" s="16" t="s">
        <v>234</v>
      </c>
    </row>
    <row r="31" spans="1:13" s="19" customFormat="1" ht="69.75" customHeight="1" x14ac:dyDescent="0.3">
      <c r="A31" s="76"/>
      <c r="B31" s="77"/>
      <c r="C31" s="79"/>
      <c r="D31" s="16" t="s">
        <v>48</v>
      </c>
      <c r="E31" s="68" t="s">
        <v>141</v>
      </c>
      <c r="F31" s="18" t="s">
        <v>41</v>
      </c>
      <c r="G31" s="26">
        <v>1</v>
      </c>
      <c r="H31" s="26">
        <f>18/18</f>
        <v>1</v>
      </c>
      <c r="I31" s="26">
        <f>IF(H31/G31&gt;100%,100%,H31/G31)</f>
        <v>1</v>
      </c>
      <c r="J31" s="81"/>
      <c r="K31" s="81"/>
      <c r="L31" s="91"/>
      <c r="M31" s="16" t="s">
        <v>243</v>
      </c>
    </row>
    <row r="32" spans="1:13" s="19" customFormat="1" ht="55.5" customHeight="1" x14ac:dyDescent="0.3">
      <c r="A32" s="76"/>
      <c r="B32" s="77"/>
      <c r="C32" s="79"/>
      <c r="D32" s="16" t="s">
        <v>140</v>
      </c>
      <c r="E32" s="68" t="s">
        <v>49</v>
      </c>
      <c r="F32" s="18" t="s">
        <v>41</v>
      </c>
      <c r="G32" s="26">
        <f>6.5/10</f>
        <v>0.65</v>
      </c>
      <c r="H32" s="26">
        <f>8.8/10</f>
        <v>0.88000000000000012</v>
      </c>
      <c r="I32" s="26">
        <f>IF(H32/G32&gt;100%,100%,H32/G32)</f>
        <v>1</v>
      </c>
      <c r="J32" s="88"/>
      <c r="K32" s="81"/>
      <c r="L32" s="91"/>
      <c r="M32" s="16" t="s">
        <v>221</v>
      </c>
    </row>
    <row r="33" spans="1:13" s="19" customFormat="1" ht="66.75" customHeight="1" x14ac:dyDescent="0.3">
      <c r="A33" s="92"/>
      <c r="B33" s="77"/>
      <c r="C33" s="79"/>
      <c r="D33" s="16" t="s">
        <v>39</v>
      </c>
      <c r="E33" s="68" t="s">
        <v>142</v>
      </c>
      <c r="F33" s="18" t="s">
        <v>50</v>
      </c>
      <c r="G33" s="70">
        <f>3+662</f>
        <v>665</v>
      </c>
      <c r="H33" s="74">
        <f>3+720</f>
        <v>723</v>
      </c>
      <c r="I33" s="26">
        <f t="shared" si="0"/>
        <v>1</v>
      </c>
      <c r="J33" s="26">
        <f>I33</f>
        <v>1</v>
      </c>
      <c r="K33" s="88"/>
      <c r="L33" s="91"/>
      <c r="M33" s="16" t="s">
        <v>51</v>
      </c>
    </row>
    <row r="34" spans="1:13" s="19" customFormat="1" ht="106.5" customHeight="1" x14ac:dyDescent="0.3">
      <c r="A34" s="75" t="s">
        <v>22</v>
      </c>
      <c r="B34" s="87" t="s">
        <v>121</v>
      </c>
      <c r="C34" s="79" t="s">
        <v>119</v>
      </c>
      <c r="D34" s="16" t="s">
        <v>44</v>
      </c>
      <c r="E34" s="68" t="s">
        <v>137</v>
      </c>
      <c r="F34" s="18" t="s">
        <v>41</v>
      </c>
      <c r="G34" s="25">
        <v>1</v>
      </c>
      <c r="H34" s="25">
        <f>H40/(H40)</f>
        <v>1</v>
      </c>
      <c r="I34" s="26">
        <f>IF(H34/G34&gt;100%,100%,H34/G34)</f>
        <v>1</v>
      </c>
      <c r="J34" s="80">
        <f>(I34+I35+I36)/3</f>
        <v>1</v>
      </c>
      <c r="K34" s="80">
        <f>(J34+J40)/2</f>
        <v>1</v>
      </c>
      <c r="L34" s="84" t="str">
        <f>IF(K34&lt;90%,"не выполнено",IF(K34&lt;100%,"в целом выполнено","выполнено"))</f>
        <v>выполнено</v>
      </c>
      <c r="M34" s="16" t="s">
        <v>168</v>
      </c>
    </row>
    <row r="35" spans="1:13" s="19" customFormat="1" ht="78.75" customHeight="1" x14ac:dyDescent="0.3">
      <c r="A35" s="76"/>
      <c r="B35" s="77"/>
      <c r="C35" s="79"/>
      <c r="D35" s="16" t="s">
        <v>45</v>
      </c>
      <c r="E35" s="68" t="s">
        <v>138</v>
      </c>
      <c r="F35" s="18" t="s">
        <v>42</v>
      </c>
      <c r="G35" s="69">
        <v>0</v>
      </c>
      <c r="H35" s="69">
        <v>0</v>
      </c>
      <c r="I35" s="25">
        <f>IF(H35=0,100%,IF(H35=1,98%,IF(H35=2,96%,IF(H35=3,94%,IF(H35=4,92%,IF(H35=5,90%,89.9%))))))</f>
        <v>1</v>
      </c>
      <c r="J35" s="81"/>
      <c r="K35" s="81"/>
      <c r="L35" s="93"/>
      <c r="M35" s="16" t="s">
        <v>52</v>
      </c>
    </row>
    <row r="36" spans="1:13" s="19" customFormat="1" ht="65.25" customHeight="1" x14ac:dyDescent="0.3">
      <c r="A36" s="76"/>
      <c r="B36" s="77"/>
      <c r="C36" s="79"/>
      <c r="D36" s="16" t="s">
        <v>46</v>
      </c>
      <c r="E36" s="68" t="s">
        <v>43</v>
      </c>
      <c r="F36" s="18" t="s">
        <v>41</v>
      </c>
      <c r="G36" s="26">
        <v>0.9</v>
      </c>
      <c r="H36" s="26">
        <f>22/24</f>
        <v>0.91666666666666663</v>
      </c>
      <c r="I36" s="26">
        <f>IF(H36&lt;90%,89.9%,100%)</f>
        <v>1</v>
      </c>
      <c r="J36" s="81"/>
      <c r="K36" s="81"/>
      <c r="L36" s="93"/>
      <c r="M36" s="16" t="s">
        <v>229</v>
      </c>
    </row>
    <row r="37" spans="1:13" s="19" customFormat="1" ht="90.75" customHeight="1" x14ac:dyDescent="0.3">
      <c r="A37" s="76"/>
      <c r="B37" s="77"/>
      <c r="C37" s="79"/>
      <c r="D37" s="16" t="s">
        <v>47</v>
      </c>
      <c r="E37" s="68" t="s">
        <v>139</v>
      </c>
      <c r="F37" s="18" t="s">
        <v>41</v>
      </c>
      <c r="G37" s="26">
        <v>0.9</v>
      </c>
      <c r="H37" s="26">
        <f>136/136</f>
        <v>1</v>
      </c>
      <c r="I37" s="26">
        <f>IF(H37/G37&gt;100%,100%,H37/G37)</f>
        <v>1</v>
      </c>
      <c r="J37" s="81"/>
      <c r="K37" s="81"/>
      <c r="L37" s="93"/>
      <c r="M37" s="16" t="s">
        <v>235</v>
      </c>
    </row>
    <row r="38" spans="1:13" s="19" customFormat="1" ht="69.75" customHeight="1" x14ac:dyDescent="0.3">
      <c r="A38" s="76"/>
      <c r="B38" s="77"/>
      <c r="C38" s="79"/>
      <c r="D38" s="16" t="s">
        <v>48</v>
      </c>
      <c r="E38" s="68" t="s">
        <v>141</v>
      </c>
      <c r="F38" s="18" t="s">
        <v>41</v>
      </c>
      <c r="G38" s="26">
        <v>1</v>
      </c>
      <c r="H38" s="26">
        <f>16/16</f>
        <v>1</v>
      </c>
      <c r="I38" s="26">
        <f>IF(H38/G38&gt;100%,100%,H38/G38)</f>
        <v>1</v>
      </c>
      <c r="J38" s="81"/>
      <c r="K38" s="81"/>
      <c r="L38" s="93"/>
      <c r="M38" s="16" t="s">
        <v>244</v>
      </c>
    </row>
    <row r="39" spans="1:13" s="19" customFormat="1" ht="55.5" customHeight="1" x14ac:dyDescent="0.3">
      <c r="A39" s="76"/>
      <c r="B39" s="77"/>
      <c r="C39" s="79"/>
      <c r="D39" s="16" t="s">
        <v>140</v>
      </c>
      <c r="E39" s="68" t="s">
        <v>49</v>
      </c>
      <c r="F39" s="18" t="s">
        <v>41</v>
      </c>
      <c r="G39" s="26">
        <v>0.85</v>
      </c>
      <c r="H39" s="26">
        <f>9.1/10</f>
        <v>0.90999999999999992</v>
      </c>
      <c r="I39" s="26">
        <f>IF(H39/G39&gt;100%,100%,H39/G39)</f>
        <v>1</v>
      </c>
      <c r="J39" s="88"/>
      <c r="K39" s="81"/>
      <c r="L39" s="93"/>
      <c r="M39" s="16" t="s">
        <v>251</v>
      </c>
    </row>
    <row r="40" spans="1:13" s="19" customFormat="1" ht="66.75" customHeight="1" x14ac:dyDescent="0.3">
      <c r="A40" s="92"/>
      <c r="B40" s="77"/>
      <c r="C40" s="79"/>
      <c r="D40" s="16" t="s">
        <v>39</v>
      </c>
      <c r="E40" s="68" t="s">
        <v>142</v>
      </c>
      <c r="F40" s="18" t="s">
        <v>50</v>
      </c>
      <c r="G40" s="70">
        <f>3+2002</f>
        <v>2005</v>
      </c>
      <c r="H40" s="70">
        <f>3+2029</f>
        <v>2032</v>
      </c>
      <c r="I40" s="26">
        <f>IF(H40/G40&gt;100%,100%,H40/G40)</f>
        <v>1</v>
      </c>
      <c r="J40" s="26">
        <f>I40</f>
        <v>1</v>
      </c>
      <c r="K40" s="88"/>
      <c r="L40" s="94"/>
      <c r="M40" s="16" t="s">
        <v>51</v>
      </c>
    </row>
    <row r="41" spans="1:13" s="19" customFormat="1" ht="106.5" customHeight="1" x14ac:dyDescent="0.3">
      <c r="A41" s="75" t="s">
        <v>23</v>
      </c>
      <c r="B41" s="87" t="s">
        <v>121</v>
      </c>
      <c r="C41" s="79" t="s">
        <v>119</v>
      </c>
      <c r="D41" s="16" t="s">
        <v>44</v>
      </c>
      <c r="E41" s="68" t="s">
        <v>137</v>
      </c>
      <c r="F41" s="18" t="s">
        <v>41</v>
      </c>
      <c r="G41" s="25">
        <v>1</v>
      </c>
      <c r="H41" s="25">
        <f>H47/(H47)</f>
        <v>1</v>
      </c>
      <c r="I41" s="26">
        <f>IF(H41/G41&gt;100%,100%,H41/G41)</f>
        <v>1</v>
      </c>
      <c r="J41" s="80">
        <f>(I41+I42+I43)/3</f>
        <v>1</v>
      </c>
      <c r="K41" s="80">
        <f>(J41+J47)/2</f>
        <v>1</v>
      </c>
      <c r="L41" s="91" t="str">
        <f>IF(K41&lt;90%,"не выполнено",IF(K41&lt;100%,"в целом выполнено","выполнено"))</f>
        <v>выполнено</v>
      </c>
      <c r="M41" s="16" t="s">
        <v>169</v>
      </c>
    </row>
    <row r="42" spans="1:13" s="19" customFormat="1" ht="78.75" customHeight="1" x14ac:dyDescent="0.3">
      <c r="A42" s="76"/>
      <c r="B42" s="77"/>
      <c r="C42" s="79"/>
      <c r="D42" s="16" t="s">
        <v>45</v>
      </c>
      <c r="E42" s="68" t="s">
        <v>138</v>
      </c>
      <c r="F42" s="18" t="s">
        <v>42</v>
      </c>
      <c r="G42" s="69">
        <v>0</v>
      </c>
      <c r="H42" s="69">
        <v>0</v>
      </c>
      <c r="I42" s="25">
        <f>IF(H42=0,100%,IF(H42=1,98%,IF(H42=2,96%,IF(H42=3,94%,IF(H42=4,92%,IF(H42=5,90%,89.9%))))))</f>
        <v>1</v>
      </c>
      <c r="J42" s="81"/>
      <c r="K42" s="81"/>
      <c r="L42" s="91"/>
      <c r="M42" s="16" t="s">
        <v>52</v>
      </c>
    </row>
    <row r="43" spans="1:13" s="19" customFormat="1" ht="65.25" customHeight="1" x14ac:dyDescent="0.3">
      <c r="A43" s="76"/>
      <c r="B43" s="77"/>
      <c r="C43" s="79"/>
      <c r="D43" s="16" t="s">
        <v>46</v>
      </c>
      <c r="E43" s="68" t="s">
        <v>43</v>
      </c>
      <c r="F43" s="18" t="s">
        <v>41</v>
      </c>
      <c r="G43" s="26">
        <v>0.9</v>
      </c>
      <c r="H43" s="26">
        <f>38/42</f>
        <v>0.90476190476190477</v>
      </c>
      <c r="I43" s="26">
        <f>IF(H43&lt;90%,89.9%,100%)</f>
        <v>1</v>
      </c>
      <c r="J43" s="81"/>
      <c r="K43" s="81"/>
      <c r="L43" s="91"/>
      <c r="M43" s="16" t="s">
        <v>128</v>
      </c>
    </row>
    <row r="44" spans="1:13" s="19" customFormat="1" ht="90.75" customHeight="1" x14ac:dyDescent="0.3">
      <c r="A44" s="76"/>
      <c r="B44" s="77"/>
      <c r="C44" s="79"/>
      <c r="D44" s="16" t="s">
        <v>47</v>
      </c>
      <c r="E44" s="68" t="s">
        <v>139</v>
      </c>
      <c r="F44" s="18" t="s">
        <v>41</v>
      </c>
      <c r="G44" s="26">
        <v>0.9</v>
      </c>
      <c r="H44" s="26">
        <f>294/295</f>
        <v>0.99661016949152548</v>
      </c>
      <c r="I44" s="26">
        <f>IF(H44/G44&gt;100%,100%,H44/G44)</f>
        <v>1</v>
      </c>
      <c r="J44" s="81"/>
      <c r="K44" s="81"/>
      <c r="L44" s="91"/>
      <c r="M44" s="16" t="s">
        <v>236</v>
      </c>
    </row>
    <row r="45" spans="1:13" s="19" customFormat="1" ht="69.75" customHeight="1" x14ac:dyDescent="0.3">
      <c r="A45" s="76"/>
      <c r="B45" s="77"/>
      <c r="C45" s="79"/>
      <c r="D45" s="16" t="s">
        <v>48</v>
      </c>
      <c r="E45" s="68" t="s">
        <v>141</v>
      </c>
      <c r="F45" s="18" t="s">
        <v>41</v>
      </c>
      <c r="G45" s="26">
        <v>1</v>
      </c>
      <c r="H45" s="26">
        <f>12/12</f>
        <v>1</v>
      </c>
      <c r="I45" s="26">
        <f>IF(H45/G45&gt;100%,100%,H45/G45)</f>
        <v>1</v>
      </c>
      <c r="J45" s="81"/>
      <c r="K45" s="81"/>
      <c r="L45" s="91"/>
      <c r="M45" s="16" t="s">
        <v>245</v>
      </c>
    </row>
    <row r="46" spans="1:13" s="19" customFormat="1" ht="55.5" customHeight="1" x14ac:dyDescent="0.3">
      <c r="A46" s="76"/>
      <c r="B46" s="77"/>
      <c r="C46" s="79"/>
      <c r="D46" s="16" t="s">
        <v>140</v>
      </c>
      <c r="E46" s="68" t="s">
        <v>49</v>
      </c>
      <c r="F46" s="18" t="s">
        <v>41</v>
      </c>
      <c r="G46" s="26">
        <v>1</v>
      </c>
      <c r="H46" s="26">
        <f>10/10</f>
        <v>1</v>
      </c>
      <c r="I46" s="26">
        <f>IF(H46/G46&gt;100%,100%,H46/G46)</f>
        <v>1</v>
      </c>
      <c r="J46" s="88"/>
      <c r="K46" s="81"/>
      <c r="L46" s="91"/>
      <c r="M46" s="16" t="s">
        <v>154</v>
      </c>
    </row>
    <row r="47" spans="1:13" s="19" customFormat="1" ht="66.75" customHeight="1" x14ac:dyDescent="0.3">
      <c r="A47" s="92"/>
      <c r="B47" s="77"/>
      <c r="C47" s="79"/>
      <c r="D47" s="16" t="s">
        <v>39</v>
      </c>
      <c r="E47" s="68" t="s">
        <v>142</v>
      </c>
      <c r="F47" s="18" t="s">
        <v>50</v>
      </c>
      <c r="G47" s="70">
        <f>3+2097</f>
        <v>2100</v>
      </c>
      <c r="H47" s="70">
        <f>6+2190</f>
        <v>2196</v>
      </c>
      <c r="I47" s="26">
        <f>IF(H47/G47&gt;100%,100%,H47/G47)</f>
        <v>1</v>
      </c>
      <c r="J47" s="26">
        <f>I47</f>
        <v>1</v>
      </c>
      <c r="K47" s="88"/>
      <c r="L47" s="91"/>
      <c r="M47" s="16" t="s">
        <v>51</v>
      </c>
    </row>
    <row r="48" spans="1:13" s="19" customFormat="1" ht="106.5" customHeight="1" x14ac:dyDescent="0.3">
      <c r="A48" s="75" t="s">
        <v>32</v>
      </c>
      <c r="B48" s="87" t="s">
        <v>121</v>
      </c>
      <c r="C48" s="79" t="s">
        <v>119</v>
      </c>
      <c r="D48" s="16" t="s">
        <v>44</v>
      </c>
      <c r="E48" s="68" t="s">
        <v>137</v>
      </c>
      <c r="F48" s="18" t="s">
        <v>41</v>
      </c>
      <c r="G48" s="25">
        <v>1</v>
      </c>
      <c r="H48" s="25">
        <f>H54/(H54)</f>
        <v>1</v>
      </c>
      <c r="I48" s="26">
        <f>IF(H48/G48&gt;100%,100%,H48/G48)</f>
        <v>1</v>
      </c>
      <c r="J48" s="80">
        <f>(I48+I49+I50)/3</f>
        <v>1</v>
      </c>
      <c r="K48" s="80">
        <f>(J48+J54)/2</f>
        <v>1</v>
      </c>
      <c r="L48" s="91" t="str">
        <f>IF(K48&lt;90%,"не выполнено",IF(K48&lt;100%,"в целом выполнено","выполнено"))</f>
        <v>выполнено</v>
      </c>
      <c r="M48" s="16" t="s">
        <v>166</v>
      </c>
    </row>
    <row r="49" spans="1:15" s="19" customFormat="1" ht="78.75" customHeight="1" x14ac:dyDescent="0.3">
      <c r="A49" s="76"/>
      <c r="B49" s="77"/>
      <c r="C49" s="79"/>
      <c r="D49" s="16" t="s">
        <v>45</v>
      </c>
      <c r="E49" s="68" t="s">
        <v>138</v>
      </c>
      <c r="F49" s="18" t="s">
        <v>42</v>
      </c>
      <c r="G49" s="69">
        <v>0</v>
      </c>
      <c r="H49" s="69">
        <f>2-2</f>
        <v>0</v>
      </c>
      <c r="I49" s="25">
        <f>IF(H49=0,100%,IF(H49=1,98%,IF(H49=2,96%,IF(H49=3,94%,IF(H49=4,92%,IF(H49=5,90%,89.9%))))))</f>
        <v>1</v>
      </c>
      <c r="J49" s="81"/>
      <c r="K49" s="81"/>
      <c r="L49" s="91"/>
      <c r="M49" s="16" t="s">
        <v>226</v>
      </c>
    </row>
    <row r="50" spans="1:15" s="19" customFormat="1" ht="65.25" customHeight="1" x14ac:dyDescent="0.3">
      <c r="A50" s="76"/>
      <c r="B50" s="77"/>
      <c r="C50" s="79"/>
      <c r="D50" s="16" t="s">
        <v>46</v>
      </c>
      <c r="E50" s="68" t="s">
        <v>43</v>
      </c>
      <c r="F50" s="18" t="s">
        <v>41</v>
      </c>
      <c r="G50" s="26">
        <v>0.9</v>
      </c>
      <c r="H50" s="26">
        <f>46/48</f>
        <v>0.95833333333333337</v>
      </c>
      <c r="I50" s="26">
        <f>IF(H50&lt;90%,89.9%,100%)</f>
        <v>1</v>
      </c>
      <c r="J50" s="81"/>
      <c r="K50" s="81"/>
      <c r="L50" s="91"/>
      <c r="M50" s="16" t="s">
        <v>230</v>
      </c>
    </row>
    <row r="51" spans="1:15" s="19" customFormat="1" ht="90.75" customHeight="1" x14ac:dyDescent="0.3">
      <c r="A51" s="76"/>
      <c r="B51" s="77"/>
      <c r="C51" s="79"/>
      <c r="D51" s="16" t="s">
        <v>47</v>
      </c>
      <c r="E51" s="68" t="s">
        <v>139</v>
      </c>
      <c r="F51" s="18" t="s">
        <v>41</v>
      </c>
      <c r="G51" s="26">
        <v>0.9</v>
      </c>
      <c r="H51" s="26">
        <f>106/110</f>
        <v>0.96363636363636362</v>
      </c>
      <c r="I51" s="26">
        <f>IF(H51/G51&gt;100%,100%,H51/G51)</f>
        <v>1</v>
      </c>
      <c r="J51" s="81"/>
      <c r="K51" s="81"/>
      <c r="L51" s="91"/>
      <c r="M51" s="16" t="s">
        <v>237</v>
      </c>
    </row>
    <row r="52" spans="1:15" s="19" customFormat="1" ht="69.75" customHeight="1" x14ac:dyDescent="0.3">
      <c r="A52" s="76"/>
      <c r="B52" s="77"/>
      <c r="C52" s="79"/>
      <c r="D52" s="16" t="s">
        <v>48</v>
      </c>
      <c r="E52" s="68" t="s">
        <v>141</v>
      </c>
      <c r="F52" s="18" t="s">
        <v>41</v>
      </c>
      <c r="G52" s="26">
        <v>1</v>
      </c>
      <c r="H52" s="26">
        <f>10/10</f>
        <v>1</v>
      </c>
      <c r="I52" s="26">
        <f>IF(H52/G52&gt;100%,100%,H52/G52)</f>
        <v>1</v>
      </c>
      <c r="J52" s="81"/>
      <c r="K52" s="81"/>
      <c r="L52" s="91"/>
      <c r="M52" s="16" t="s">
        <v>215</v>
      </c>
    </row>
    <row r="53" spans="1:15" s="19" customFormat="1" ht="55.5" customHeight="1" x14ac:dyDescent="0.3">
      <c r="A53" s="76"/>
      <c r="B53" s="77"/>
      <c r="C53" s="79"/>
      <c r="D53" s="16" t="s">
        <v>140</v>
      </c>
      <c r="E53" s="68" t="s">
        <v>49</v>
      </c>
      <c r="F53" s="18" t="s">
        <v>41</v>
      </c>
      <c r="G53" s="26">
        <v>0.75</v>
      </c>
      <c r="H53" s="26">
        <f>8.8/10</f>
        <v>0.88000000000000012</v>
      </c>
      <c r="I53" s="26">
        <f>IF(H53/G53&gt;100%,100%,H53/G53)</f>
        <v>1</v>
      </c>
      <c r="J53" s="88"/>
      <c r="K53" s="81"/>
      <c r="L53" s="91"/>
      <c r="M53" s="16" t="s">
        <v>250</v>
      </c>
    </row>
    <row r="54" spans="1:15" s="19" customFormat="1" ht="66.75" customHeight="1" x14ac:dyDescent="0.3">
      <c r="A54" s="92"/>
      <c r="B54" s="77"/>
      <c r="C54" s="79"/>
      <c r="D54" s="16" t="s">
        <v>39</v>
      </c>
      <c r="E54" s="68" t="s">
        <v>142</v>
      </c>
      <c r="F54" s="18" t="s">
        <v>50</v>
      </c>
      <c r="G54" s="70">
        <f>3+2482</f>
        <v>2485</v>
      </c>
      <c r="H54" s="70">
        <f>3+2601</f>
        <v>2604</v>
      </c>
      <c r="I54" s="26">
        <f>IF(H54/G54&gt;100%,100%,H54/G54)</f>
        <v>1</v>
      </c>
      <c r="J54" s="26">
        <f>I54</f>
        <v>1</v>
      </c>
      <c r="K54" s="88"/>
      <c r="L54" s="91"/>
      <c r="M54" s="16" t="s">
        <v>51</v>
      </c>
    </row>
    <row r="55" spans="1:15" s="19" customFormat="1" ht="106.5" customHeight="1" x14ac:dyDescent="0.3">
      <c r="A55" s="75" t="s">
        <v>31</v>
      </c>
      <c r="B55" s="87" t="s">
        <v>121</v>
      </c>
      <c r="C55" s="79" t="s">
        <v>119</v>
      </c>
      <c r="D55" s="16" t="s">
        <v>44</v>
      </c>
      <c r="E55" s="68" t="s">
        <v>137</v>
      </c>
      <c r="F55" s="18" t="s">
        <v>41</v>
      </c>
      <c r="G55" s="25">
        <v>1</v>
      </c>
      <c r="H55" s="25">
        <f>H61/(H61)</f>
        <v>1</v>
      </c>
      <c r="I55" s="26">
        <f>IF(H55/G55&gt;100%,100%,H55/G55)</f>
        <v>1</v>
      </c>
      <c r="J55" s="80">
        <f>(I55+I56+I57)/3</f>
        <v>1</v>
      </c>
      <c r="K55" s="80">
        <f>(J55+J61)/2</f>
        <v>1</v>
      </c>
      <c r="L55" s="91" t="str">
        <f>IF(K55&lt;90%,"не выполнено",IF(K55&lt;100%,"в целом выполнено","выполнено"))</f>
        <v>выполнено</v>
      </c>
      <c r="M55" s="16" t="s">
        <v>171</v>
      </c>
    </row>
    <row r="56" spans="1:15" s="19" customFormat="1" ht="78.75" customHeight="1" x14ac:dyDescent="0.3">
      <c r="A56" s="76"/>
      <c r="B56" s="77"/>
      <c r="C56" s="79"/>
      <c r="D56" s="16" t="s">
        <v>45</v>
      </c>
      <c r="E56" s="68" t="s">
        <v>138</v>
      </c>
      <c r="F56" s="18" t="s">
        <v>42</v>
      </c>
      <c r="G56" s="69">
        <v>0</v>
      </c>
      <c r="H56" s="69">
        <f>2-2</f>
        <v>0</v>
      </c>
      <c r="I56" s="25">
        <f>IF(H56=0,100%,IF(H56=1,98%,IF(H56=2,96%,IF(H56=3,94%,IF(H56=4,92%,IF(H56=5,90%,89.9%))))))</f>
        <v>1</v>
      </c>
      <c r="J56" s="81"/>
      <c r="K56" s="81"/>
      <c r="L56" s="91"/>
      <c r="M56" s="16" t="s">
        <v>226</v>
      </c>
    </row>
    <row r="57" spans="1:15" s="19" customFormat="1" ht="65.25" customHeight="1" x14ac:dyDescent="0.3">
      <c r="A57" s="76"/>
      <c r="B57" s="77"/>
      <c r="C57" s="79"/>
      <c r="D57" s="16" t="s">
        <v>46</v>
      </c>
      <c r="E57" s="68" t="s">
        <v>43</v>
      </c>
      <c r="F57" s="18" t="s">
        <v>41</v>
      </c>
      <c r="G57" s="26">
        <v>0.9</v>
      </c>
      <c r="H57" s="26">
        <f>32/35.5</f>
        <v>0.90140845070422537</v>
      </c>
      <c r="I57" s="26">
        <f>IF(H57&lt;90%,89.9%,100%)</f>
        <v>1</v>
      </c>
      <c r="J57" s="81"/>
      <c r="K57" s="81"/>
      <c r="L57" s="91"/>
      <c r="M57" s="16" t="s">
        <v>146</v>
      </c>
    </row>
    <row r="58" spans="1:15" s="19" customFormat="1" ht="90.75" customHeight="1" x14ac:dyDescent="0.3">
      <c r="A58" s="76"/>
      <c r="B58" s="77"/>
      <c r="C58" s="79"/>
      <c r="D58" s="16" t="s">
        <v>47</v>
      </c>
      <c r="E58" s="68" t="s">
        <v>139</v>
      </c>
      <c r="F58" s="18" t="s">
        <v>41</v>
      </c>
      <c r="G58" s="26">
        <v>0.9</v>
      </c>
      <c r="H58" s="26">
        <f>274/277</f>
        <v>0.98916967509025266</v>
      </c>
      <c r="I58" s="26">
        <f>IF(H58/G58&gt;100%,100%,H58/G58)</f>
        <v>1</v>
      </c>
      <c r="J58" s="81"/>
      <c r="K58" s="81"/>
      <c r="L58" s="91"/>
      <c r="M58" s="16" t="s">
        <v>238</v>
      </c>
    </row>
    <row r="59" spans="1:15" s="19" customFormat="1" ht="69.75" customHeight="1" x14ac:dyDescent="0.3">
      <c r="A59" s="76"/>
      <c r="B59" s="77"/>
      <c r="C59" s="79"/>
      <c r="D59" s="16" t="s">
        <v>48</v>
      </c>
      <c r="E59" s="68" t="s">
        <v>141</v>
      </c>
      <c r="F59" s="18" t="s">
        <v>41</v>
      </c>
      <c r="G59" s="26">
        <v>1</v>
      </c>
      <c r="H59" s="26">
        <f>31/31</f>
        <v>1</v>
      </c>
      <c r="I59" s="26">
        <f>IF(H59/G59&gt;100%,100%,H59/G59)</f>
        <v>1</v>
      </c>
      <c r="J59" s="81"/>
      <c r="K59" s="81"/>
      <c r="L59" s="91"/>
      <c r="M59" s="16" t="s">
        <v>246</v>
      </c>
    </row>
    <row r="60" spans="1:15" s="19" customFormat="1" ht="55.5" customHeight="1" x14ac:dyDescent="0.3">
      <c r="A60" s="76"/>
      <c r="B60" s="77"/>
      <c r="C60" s="79"/>
      <c r="D60" s="16" t="s">
        <v>140</v>
      </c>
      <c r="E60" s="68" t="s">
        <v>49</v>
      </c>
      <c r="F60" s="18" t="s">
        <v>41</v>
      </c>
      <c r="G60" s="26">
        <v>0.9</v>
      </c>
      <c r="H60" s="26">
        <f>9.2/10</f>
        <v>0.91999999999999993</v>
      </c>
      <c r="I60" s="26">
        <f>IF(H60/G60&gt;100%,100%,H60/G60)</f>
        <v>1</v>
      </c>
      <c r="J60" s="88"/>
      <c r="K60" s="81"/>
      <c r="L60" s="91"/>
      <c r="M60" s="16" t="s">
        <v>249</v>
      </c>
    </row>
    <row r="61" spans="1:15" s="19" customFormat="1" ht="66.75" customHeight="1" x14ac:dyDescent="0.3">
      <c r="A61" s="76"/>
      <c r="B61" s="77"/>
      <c r="C61" s="79"/>
      <c r="D61" s="16" t="s">
        <v>39</v>
      </c>
      <c r="E61" s="68" t="s">
        <v>142</v>
      </c>
      <c r="F61" s="18" t="s">
        <v>50</v>
      </c>
      <c r="G61" s="70">
        <f>3+2002</f>
        <v>2005</v>
      </c>
      <c r="H61" s="70">
        <f>3+2069</f>
        <v>2072</v>
      </c>
      <c r="I61" s="26">
        <f>IF(H61/G61&gt;100%,100%,H61/G61)</f>
        <v>1</v>
      </c>
      <c r="J61" s="26">
        <f>I61</f>
        <v>1</v>
      </c>
      <c r="K61" s="88"/>
      <c r="L61" s="91"/>
      <c r="M61" s="16" t="s">
        <v>51</v>
      </c>
    </row>
    <row r="62" spans="1:15" s="19" customFormat="1" ht="106.5" customHeight="1" x14ac:dyDescent="0.3">
      <c r="A62" s="77"/>
      <c r="B62" s="79" t="s">
        <v>122</v>
      </c>
      <c r="C62" s="79" t="s">
        <v>119</v>
      </c>
      <c r="D62" s="16" t="s">
        <v>44</v>
      </c>
      <c r="E62" s="71" t="s">
        <v>137</v>
      </c>
      <c r="F62" s="18" t="s">
        <v>41</v>
      </c>
      <c r="G62" s="25">
        <v>1</v>
      </c>
      <c r="H62" s="25">
        <f>H66/H66</f>
        <v>1</v>
      </c>
      <c r="I62" s="26">
        <f>IF(H62/G62&gt;100%,100%,H62/G62)</f>
        <v>1</v>
      </c>
      <c r="J62" s="80">
        <f>(I62+I63)/2</f>
        <v>1</v>
      </c>
      <c r="K62" s="80">
        <f>(J62+J66)/2</f>
        <v>1</v>
      </c>
      <c r="L62" s="84" t="str">
        <f>IF(K62&lt;90%,"не выполнено",IF(K62&lt;100%,"в целом выполнено","выполнено"))</f>
        <v>выполнено</v>
      </c>
      <c r="M62" s="16" t="s">
        <v>170</v>
      </c>
      <c r="O62" s="22"/>
    </row>
    <row r="63" spans="1:15" s="19" customFormat="1" ht="66.75" customHeight="1" x14ac:dyDescent="0.3">
      <c r="A63" s="77"/>
      <c r="B63" s="79"/>
      <c r="C63" s="79"/>
      <c r="D63" s="16" t="s">
        <v>45</v>
      </c>
      <c r="E63" s="68" t="s">
        <v>43</v>
      </c>
      <c r="F63" s="18" t="s">
        <v>41</v>
      </c>
      <c r="G63" s="26">
        <v>0.9</v>
      </c>
      <c r="H63" s="26">
        <f>2/2</f>
        <v>1</v>
      </c>
      <c r="I63" s="26">
        <f>IF(H63&lt;90%,89.9%,100%)</f>
        <v>1</v>
      </c>
      <c r="J63" s="81"/>
      <c r="K63" s="82"/>
      <c r="L63" s="85"/>
      <c r="M63" s="16" t="s">
        <v>150</v>
      </c>
    </row>
    <row r="64" spans="1:15" s="19" customFormat="1" ht="90" customHeight="1" x14ac:dyDescent="0.3">
      <c r="A64" s="77"/>
      <c r="B64" s="79"/>
      <c r="C64" s="79"/>
      <c r="D64" s="16" t="s">
        <v>46</v>
      </c>
      <c r="E64" s="68" t="s">
        <v>139</v>
      </c>
      <c r="F64" s="18" t="s">
        <v>41</v>
      </c>
      <c r="G64" s="26">
        <v>0.9</v>
      </c>
      <c r="H64" s="26">
        <f>20/20</f>
        <v>1</v>
      </c>
      <c r="I64" s="26">
        <f>IF(H64/G64&gt;100%,100%,H64/G64)</f>
        <v>1</v>
      </c>
      <c r="J64" s="81"/>
      <c r="K64" s="82"/>
      <c r="L64" s="85"/>
      <c r="M64" s="60" t="s">
        <v>239</v>
      </c>
    </row>
    <row r="65" spans="1:15" s="19" customFormat="1" ht="66.75" customHeight="1" x14ac:dyDescent="0.3">
      <c r="A65" s="77"/>
      <c r="B65" s="79"/>
      <c r="C65" s="79"/>
      <c r="D65" s="16" t="s">
        <v>47</v>
      </c>
      <c r="E65" s="68" t="s">
        <v>141</v>
      </c>
      <c r="F65" s="18" t="s">
        <v>41</v>
      </c>
      <c r="G65" s="26">
        <v>1</v>
      </c>
      <c r="H65" s="26">
        <f>26/26</f>
        <v>1</v>
      </c>
      <c r="I65" s="26">
        <f>IF(H65/G65&gt;100%,100%,H65/G65)</f>
        <v>1</v>
      </c>
      <c r="J65" s="81"/>
      <c r="K65" s="82"/>
      <c r="L65" s="85"/>
      <c r="M65" s="16" t="s">
        <v>252</v>
      </c>
    </row>
    <row r="66" spans="1:15" s="19" customFormat="1" ht="66" customHeight="1" x14ac:dyDescent="0.3">
      <c r="A66" s="78"/>
      <c r="B66" s="79"/>
      <c r="C66" s="79"/>
      <c r="D66" s="16" t="s">
        <v>39</v>
      </c>
      <c r="E66" s="68" t="s">
        <v>142</v>
      </c>
      <c r="F66" s="18" t="s">
        <v>50</v>
      </c>
      <c r="G66" s="70">
        <f>5+20</f>
        <v>25</v>
      </c>
      <c r="H66" s="70">
        <f>5+20</f>
        <v>25</v>
      </c>
      <c r="I66" s="26">
        <f>IF(H66/G66&gt;100%,100%,H66/G66)</f>
        <v>1</v>
      </c>
      <c r="J66" s="26">
        <f>I66</f>
        <v>1</v>
      </c>
      <c r="K66" s="83"/>
      <c r="L66" s="86"/>
      <c r="M66" s="16"/>
    </row>
    <row r="67" spans="1:15" s="19" customFormat="1" ht="106.5" customHeight="1" x14ac:dyDescent="0.3">
      <c r="A67" s="75" t="s">
        <v>21</v>
      </c>
      <c r="B67" s="87" t="s">
        <v>121</v>
      </c>
      <c r="C67" s="79" t="s">
        <v>119</v>
      </c>
      <c r="D67" s="16" t="s">
        <v>44</v>
      </c>
      <c r="E67" s="68" t="s">
        <v>137</v>
      </c>
      <c r="F67" s="18" t="s">
        <v>41</v>
      </c>
      <c r="G67" s="25">
        <v>1</v>
      </c>
      <c r="H67" s="25">
        <f>H73/(H73)</f>
        <v>1</v>
      </c>
      <c r="I67" s="26">
        <f>IF(H67/G67&gt;100%,100%,H67/G67)</f>
        <v>1</v>
      </c>
      <c r="J67" s="80">
        <f>(I67+I68+I69)/3</f>
        <v>1</v>
      </c>
      <c r="K67" s="80">
        <f>(J67+J73)/2</f>
        <v>1</v>
      </c>
      <c r="L67" s="91" t="str">
        <f>IF(K67&lt;90%,"не выполнено",IF(K67&lt;100%,"в целом выполнено","выполнено"))</f>
        <v>выполнено</v>
      </c>
      <c r="M67" s="16" t="s">
        <v>172</v>
      </c>
    </row>
    <row r="68" spans="1:15" s="19" customFormat="1" ht="78.75" customHeight="1" x14ac:dyDescent="0.3">
      <c r="A68" s="76"/>
      <c r="B68" s="77"/>
      <c r="C68" s="79"/>
      <c r="D68" s="16" t="s">
        <v>45</v>
      </c>
      <c r="E68" s="68" t="s">
        <v>138</v>
      </c>
      <c r="F68" s="18" t="s">
        <v>42</v>
      </c>
      <c r="G68" s="69">
        <v>0</v>
      </c>
      <c r="H68" s="69">
        <v>0</v>
      </c>
      <c r="I68" s="25">
        <f>IF(H68=0,100%,IF(H68=1,98%,IF(H68=2,96%,IF(H68=3,94%,IF(H68=4,92%,IF(H68=5,90%,89.9%))))))</f>
        <v>1</v>
      </c>
      <c r="J68" s="81"/>
      <c r="K68" s="81"/>
      <c r="L68" s="91"/>
      <c r="M68" s="16" t="s">
        <v>52</v>
      </c>
    </row>
    <row r="69" spans="1:15" s="19" customFormat="1" ht="65.25" customHeight="1" x14ac:dyDescent="0.3">
      <c r="A69" s="76"/>
      <c r="B69" s="77"/>
      <c r="C69" s="79"/>
      <c r="D69" s="16" t="s">
        <v>46</v>
      </c>
      <c r="E69" s="68" t="s">
        <v>43</v>
      </c>
      <c r="F69" s="18" t="s">
        <v>41</v>
      </c>
      <c r="G69" s="26">
        <v>0.9</v>
      </c>
      <c r="H69" s="26">
        <f>74/76.5</f>
        <v>0.9673202614379085</v>
      </c>
      <c r="I69" s="26">
        <f>IF(H69&lt;90%,89.9%,100%)</f>
        <v>1</v>
      </c>
      <c r="J69" s="81"/>
      <c r="K69" s="81"/>
      <c r="L69" s="91"/>
      <c r="M69" s="16" t="s">
        <v>231</v>
      </c>
    </row>
    <row r="70" spans="1:15" s="19" customFormat="1" ht="90.75" customHeight="1" x14ac:dyDescent="0.3">
      <c r="A70" s="76"/>
      <c r="B70" s="77"/>
      <c r="C70" s="79"/>
      <c r="D70" s="16" t="s">
        <v>47</v>
      </c>
      <c r="E70" s="68" t="s">
        <v>139</v>
      </c>
      <c r="F70" s="18" t="s">
        <v>41</v>
      </c>
      <c r="G70" s="26">
        <v>0.9</v>
      </c>
      <c r="H70" s="26">
        <f>81/82</f>
        <v>0.98780487804878048</v>
      </c>
      <c r="I70" s="26">
        <f t="shared" ref="I70:I79" si="1">IF(H70/G70&gt;100%,100%,H70/G70)</f>
        <v>1</v>
      </c>
      <c r="J70" s="81"/>
      <c r="K70" s="81"/>
      <c r="L70" s="91"/>
      <c r="M70" s="16" t="s">
        <v>240</v>
      </c>
    </row>
    <row r="71" spans="1:15" s="19" customFormat="1" ht="69.75" customHeight="1" x14ac:dyDescent="0.3">
      <c r="A71" s="76"/>
      <c r="B71" s="77"/>
      <c r="C71" s="79"/>
      <c r="D71" s="16" t="s">
        <v>48</v>
      </c>
      <c r="E71" s="68" t="s">
        <v>141</v>
      </c>
      <c r="F71" s="18" t="s">
        <v>41</v>
      </c>
      <c r="G71" s="26">
        <v>1</v>
      </c>
      <c r="H71" s="26">
        <f>6/6</f>
        <v>1</v>
      </c>
      <c r="I71" s="26">
        <f t="shared" si="1"/>
        <v>1</v>
      </c>
      <c r="J71" s="81"/>
      <c r="K71" s="81"/>
      <c r="L71" s="91"/>
      <c r="M71" s="16" t="s">
        <v>208</v>
      </c>
    </row>
    <row r="72" spans="1:15" s="19" customFormat="1" ht="55.5" customHeight="1" x14ac:dyDescent="0.3">
      <c r="A72" s="76"/>
      <c r="B72" s="77"/>
      <c r="C72" s="79"/>
      <c r="D72" s="16" t="s">
        <v>140</v>
      </c>
      <c r="E72" s="68" t="s">
        <v>49</v>
      </c>
      <c r="F72" s="18" t="s">
        <v>41</v>
      </c>
      <c r="G72" s="26">
        <v>0.65</v>
      </c>
      <c r="H72" s="26">
        <f>6.79/10</f>
        <v>0.67900000000000005</v>
      </c>
      <c r="I72" s="26">
        <f t="shared" si="1"/>
        <v>1</v>
      </c>
      <c r="J72" s="88"/>
      <c r="K72" s="81"/>
      <c r="L72" s="91"/>
      <c r="M72" s="16" t="s">
        <v>248</v>
      </c>
    </row>
    <row r="73" spans="1:15" s="19" customFormat="1" ht="66.75" customHeight="1" x14ac:dyDescent="0.3">
      <c r="A73" s="76"/>
      <c r="B73" s="77"/>
      <c r="C73" s="79"/>
      <c r="D73" s="16" t="s">
        <v>39</v>
      </c>
      <c r="E73" s="68" t="s">
        <v>142</v>
      </c>
      <c r="F73" s="18" t="s">
        <v>50</v>
      </c>
      <c r="G73" s="72">
        <v>1000</v>
      </c>
      <c r="H73" s="72">
        <v>1067</v>
      </c>
      <c r="I73" s="26">
        <f t="shared" si="1"/>
        <v>1</v>
      </c>
      <c r="J73" s="26">
        <f>I73</f>
        <v>1</v>
      </c>
      <c r="K73" s="88"/>
      <c r="L73" s="91"/>
      <c r="M73" s="16" t="s">
        <v>51</v>
      </c>
    </row>
    <row r="74" spans="1:15" s="19" customFormat="1" ht="106.5" customHeight="1" x14ac:dyDescent="0.3">
      <c r="A74" s="77"/>
      <c r="B74" s="79" t="s">
        <v>122</v>
      </c>
      <c r="C74" s="79" t="s">
        <v>119</v>
      </c>
      <c r="D74" s="16" t="s">
        <v>44</v>
      </c>
      <c r="E74" s="71" t="s">
        <v>137</v>
      </c>
      <c r="F74" s="18" t="s">
        <v>41</v>
      </c>
      <c r="G74" s="25">
        <v>1</v>
      </c>
      <c r="H74" s="25">
        <f>H78/H78</f>
        <v>1</v>
      </c>
      <c r="I74" s="26">
        <f t="shared" si="1"/>
        <v>1</v>
      </c>
      <c r="J74" s="80">
        <f>(I74+I75)/2</f>
        <v>1</v>
      </c>
      <c r="K74" s="80">
        <f>(J74+J78)/2</f>
        <v>1</v>
      </c>
      <c r="L74" s="84" t="str">
        <f>IF(K74&lt;90%,"не выполнено",IF(K74&lt;100%,"в целом выполнено","выполнено"))</f>
        <v>выполнено</v>
      </c>
      <c r="M74" s="16" t="s">
        <v>157</v>
      </c>
      <c r="O74" s="22"/>
    </row>
    <row r="75" spans="1:15" s="19" customFormat="1" ht="66.75" customHeight="1" x14ac:dyDescent="0.3">
      <c r="A75" s="77"/>
      <c r="B75" s="79"/>
      <c r="C75" s="79"/>
      <c r="D75" s="16" t="s">
        <v>45</v>
      </c>
      <c r="E75" s="68" t="s">
        <v>43</v>
      </c>
      <c r="F75" s="18" t="s">
        <v>41</v>
      </c>
      <c r="G75" s="26">
        <v>0.9</v>
      </c>
      <c r="H75" s="26">
        <f>6.5/7</f>
        <v>0.9285714285714286</v>
      </c>
      <c r="I75" s="26">
        <f>IF(H75&lt;90%,89.9%,100%)</f>
        <v>1</v>
      </c>
      <c r="J75" s="81"/>
      <c r="K75" s="82"/>
      <c r="L75" s="85"/>
      <c r="M75" s="16" t="s">
        <v>232</v>
      </c>
    </row>
    <row r="76" spans="1:15" s="19" customFormat="1" ht="90" customHeight="1" x14ac:dyDescent="0.3">
      <c r="A76" s="77"/>
      <c r="B76" s="79"/>
      <c r="C76" s="79"/>
      <c r="D76" s="16" t="s">
        <v>46</v>
      </c>
      <c r="E76" s="68" t="s">
        <v>139</v>
      </c>
      <c r="F76" s="18" t="s">
        <v>41</v>
      </c>
      <c r="G76" s="26">
        <v>0.9</v>
      </c>
      <c r="H76" s="26">
        <f>18/18</f>
        <v>1</v>
      </c>
      <c r="I76" s="26">
        <f>IF(H76/G76&gt;100%,100%,H76/G76)</f>
        <v>1</v>
      </c>
      <c r="J76" s="81"/>
      <c r="K76" s="82"/>
      <c r="L76" s="85"/>
      <c r="M76" s="60" t="s">
        <v>241</v>
      </c>
    </row>
    <row r="77" spans="1:15" s="19" customFormat="1" ht="66.75" customHeight="1" x14ac:dyDescent="0.3">
      <c r="A77" s="77"/>
      <c r="B77" s="79"/>
      <c r="C77" s="79"/>
      <c r="D77" s="16" t="s">
        <v>47</v>
      </c>
      <c r="E77" s="68" t="s">
        <v>141</v>
      </c>
      <c r="F77" s="18" t="s">
        <v>41</v>
      </c>
      <c r="G77" s="26">
        <v>1</v>
      </c>
      <c r="H77" s="26">
        <f>4/4</f>
        <v>1</v>
      </c>
      <c r="I77" s="26">
        <f t="shared" si="1"/>
        <v>1</v>
      </c>
      <c r="J77" s="81"/>
      <c r="K77" s="82"/>
      <c r="L77" s="85"/>
      <c r="M77" s="16" t="s">
        <v>247</v>
      </c>
    </row>
    <row r="78" spans="1:15" s="19" customFormat="1" ht="66" customHeight="1" x14ac:dyDescent="0.3">
      <c r="A78" s="78"/>
      <c r="B78" s="79"/>
      <c r="C78" s="79"/>
      <c r="D78" s="16" t="s">
        <v>39</v>
      </c>
      <c r="E78" s="68" t="s">
        <v>142</v>
      </c>
      <c r="F78" s="18" t="s">
        <v>50</v>
      </c>
      <c r="G78" s="72">
        <f>25+125</f>
        <v>150</v>
      </c>
      <c r="H78" s="72">
        <f>25+125</f>
        <v>150</v>
      </c>
      <c r="I78" s="26">
        <f t="shared" si="1"/>
        <v>1</v>
      </c>
      <c r="J78" s="26">
        <f>I78</f>
        <v>1</v>
      </c>
      <c r="K78" s="83"/>
      <c r="L78" s="86"/>
      <c r="M78" s="16"/>
    </row>
    <row r="79" spans="1:15" s="19" customFormat="1" ht="106.5" customHeight="1" x14ac:dyDescent="0.3">
      <c r="A79" s="75" t="s">
        <v>30</v>
      </c>
      <c r="B79" s="87" t="s">
        <v>121</v>
      </c>
      <c r="C79" s="79" t="s">
        <v>119</v>
      </c>
      <c r="D79" s="16" t="s">
        <v>44</v>
      </c>
      <c r="E79" s="68" t="s">
        <v>137</v>
      </c>
      <c r="F79" s="18" t="s">
        <v>41</v>
      </c>
      <c r="G79" s="25">
        <v>1</v>
      </c>
      <c r="H79" s="25">
        <f>H85/(H85)</f>
        <v>1</v>
      </c>
      <c r="I79" s="26">
        <f t="shared" si="1"/>
        <v>1</v>
      </c>
      <c r="J79" s="80">
        <f>(I79+I80+I81)/3</f>
        <v>1</v>
      </c>
      <c r="K79" s="80">
        <f>(J79+J85)/2</f>
        <v>1</v>
      </c>
      <c r="L79" s="91" t="str">
        <f>IF(K79&lt;90%,"не выполнено",IF(K79&lt;100%,"в целом выполнено","выполнено"))</f>
        <v>выполнено</v>
      </c>
      <c r="M79" s="16" t="s">
        <v>174</v>
      </c>
    </row>
    <row r="80" spans="1:15" s="19" customFormat="1" ht="78.75" customHeight="1" x14ac:dyDescent="0.3">
      <c r="A80" s="76"/>
      <c r="B80" s="77"/>
      <c r="C80" s="79"/>
      <c r="D80" s="16" t="s">
        <v>45</v>
      </c>
      <c r="E80" s="68" t="s">
        <v>138</v>
      </c>
      <c r="F80" s="18" t="s">
        <v>42</v>
      </c>
      <c r="G80" s="69">
        <v>0</v>
      </c>
      <c r="H80" s="69">
        <v>0</v>
      </c>
      <c r="I80" s="25">
        <f>IF(H80=0,100%,IF(H80=1,98%,IF(H80=2,96%,IF(H80=3,94%,IF(H80=4,92%,IF(H80=5,90%,89.9%))))))</f>
        <v>1</v>
      </c>
      <c r="J80" s="81"/>
      <c r="K80" s="81"/>
      <c r="L80" s="91"/>
      <c r="M80" s="16" t="s">
        <v>52</v>
      </c>
    </row>
    <row r="81" spans="1:15" s="19" customFormat="1" ht="65.25" customHeight="1" x14ac:dyDescent="0.3">
      <c r="A81" s="76"/>
      <c r="B81" s="77"/>
      <c r="C81" s="79"/>
      <c r="D81" s="16" t="s">
        <v>46</v>
      </c>
      <c r="E81" s="68" t="s">
        <v>43</v>
      </c>
      <c r="F81" s="18" t="s">
        <v>41</v>
      </c>
      <c r="G81" s="26">
        <v>0.9</v>
      </c>
      <c r="H81" s="26">
        <f>26.75/29.5</f>
        <v>0.90677966101694918</v>
      </c>
      <c r="I81" s="26">
        <f>IF(H81&lt;90%,89.9%,100%)</f>
        <v>1</v>
      </c>
      <c r="J81" s="81"/>
      <c r="K81" s="81"/>
      <c r="L81" s="91"/>
      <c r="M81" s="16" t="s">
        <v>192</v>
      </c>
    </row>
    <row r="82" spans="1:15" s="19" customFormat="1" ht="90.75" customHeight="1" x14ac:dyDescent="0.3">
      <c r="A82" s="76"/>
      <c r="B82" s="77"/>
      <c r="C82" s="79"/>
      <c r="D82" s="16" t="s">
        <v>47</v>
      </c>
      <c r="E82" s="68" t="s">
        <v>139</v>
      </c>
      <c r="F82" s="18" t="s">
        <v>41</v>
      </c>
      <c r="G82" s="26">
        <v>0.9</v>
      </c>
      <c r="H82" s="26">
        <f>73/73</f>
        <v>1</v>
      </c>
      <c r="I82" s="26">
        <f t="shared" ref="I82:I91" si="2">IF(H82/G82&gt;100%,100%,H82/G82)</f>
        <v>1</v>
      </c>
      <c r="J82" s="81"/>
      <c r="K82" s="81"/>
      <c r="L82" s="91"/>
      <c r="M82" s="16" t="s">
        <v>193</v>
      </c>
    </row>
    <row r="83" spans="1:15" s="19" customFormat="1" ht="69.75" customHeight="1" x14ac:dyDescent="0.3">
      <c r="A83" s="76"/>
      <c r="B83" s="77"/>
      <c r="C83" s="79"/>
      <c r="D83" s="16" t="s">
        <v>48</v>
      </c>
      <c r="E83" s="68" t="s">
        <v>141</v>
      </c>
      <c r="F83" s="18" t="s">
        <v>41</v>
      </c>
      <c r="G83" s="26">
        <v>1</v>
      </c>
      <c r="H83" s="26">
        <f>11/11</f>
        <v>1</v>
      </c>
      <c r="I83" s="26">
        <f t="shared" si="2"/>
        <v>1</v>
      </c>
      <c r="J83" s="81"/>
      <c r="K83" s="81"/>
      <c r="L83" s="91"/>
      <c r="M83" s="16" t="s">
        <v>214</v>
      </c>
    </row>
    <row r="84" spans="1:15" s="19" customFormat="1" ht="55.5" customHeight="1" x14ac:dyDescent="0.3">
      <c r="A84" s="76"/>
      <c r="B84" s="77"/>
      <c r="C84" s="79"/>
      <c r="D84" s="16" t="s">
        <v>140</v>
      </c>
      <c r="E84" s="68" t="s">
        <v>49</v>
      </c>
      <c r="F84" s="18" t="s">
        <v>41</v>
      </c>
      <c r="G84" s="26">
        <v>0.84</v>
      </c>
      <c r="H84" s="26">
        <f>10/10</f>
        <v>1</v>
      </c>
      <c r="I84" s="26">
        <f t="shared" si="2"/>
        <v>1</v>
      </c>
      <c r="J84" s="88"/>
      <c r="K84" s="81"/>
      <c r="L84" s="91"/>
      <c r="M84" s="16" t="s">
        <v>154</v>
      </c>
    </row>
    <row r="85" spans="1:15" s="19" customFormat="1" ht="66.75" customHeight="1" x14ac:dyDescent="0.3">
      <c r="A85" s="76"/>
      <c r="B85" s="77"/>
      <c r="C85" s="79"/>
      <c r="D85" s="16" t="s">
        <v>39</v>
      </c>
      <c r="E85" s="68" t="s">
        <v>142</v>
      </c>
      <c r="F85" s="18" t="s">
        <v>50</v>
      </c>
      <c r="G85" s="72">
        <f>400+1270</f>
        <v>1670</v>
      </c>
      <c r="H85" s="72">
        <f>420+1428</f>
        <v>1848</v>
      </c>
      <c r="I85" s="26">
        <f t="shared" si="2"/>
        <v>1</v>
      </c>
      <c r="J85" s="26">
        <f>I85</f>
        <v>1</v>
      </c>
      <c r="K85" s="88"/>
      <c r="L85" s="91"/>
      <c r="M85" s="16" t="s">
        <v>51</v>
      </c>
    </row>
    <row r="86" spans="1:15" s="19" customFormat="1" ht="106.5" customHeight="1" x14ac:dyDescent="0.3">
      <c r="A86" s="77"/>
      <c r="B86" s="79" t="s">
        <v>122</v>
      </c>
      <c r="C86" s="79" t="s">
        <v>119</v>
      </c>
      <c r="D86" s="16" t="s">
        <v>44</v>
      </c>
      <c r="E86" s="71" t="s">
        <v>137</v>
      </c>
      <c r="F86" s="18" t="s">
        <v>41</v>
      </c>
      <c r="G86" s="25">
        <v>1</v>
      </c>
      <c r="H86" s="25">
        <f>H90/H90</f>
        <v>1</v>
      </c>
      <c r="I86" s="26">
        <f t="shared" si="2"/>
        <v>1</v>
      </c>
      <c r="J86" s="80">
        <f>(I86+I87)/2</f>
        <v>1</v>
      </c>
      <c r="K86" s="80">
        <f>(J86+J90)/2</f>
        <v>1</v>
      </c>
      <c r="L86" s="84" t="str">
        <f>IF(K86&lt;90%,"не выполнено",IF(K86&lt;100%,"в целом выполнено","выполнено"))</f>
        <v>выполнено</v>
      </c>
      <c r="M86" s="16" t="s">
        <v>173</v>
      </c>
      <c r="O86" s="22"/>
    </row>
    <row r="87" spans="1:15" s="19" customFormat="1" ht="66.75" customHeight="1" x14ac:dyDescent="0.3">
      <c r="A87" s="77"/>
      <c r="B87" s="79"/>
      <c r="C87" s="79"/>
      <c r="D87" s="16" t="s">
        <v>45</v>
      </c>
      <c r="E87" s="68" t="s">
        <v>43</v>
      </c>
      <c r="F87" s="18" t="s">
        <v>41</v>
      </c>
      <c r="G87" s="26">
        <v>0.9</v>
      </c>
      <c r="H87" s="26">
        <f>61/62</f>
        <v>0.9838709677419355</v>
      </c>
      <c r="I87" s="26">
        <f>IF(H87&lt;90%,89.9%,100%)</f>
        <v>1</v>
      </c>
      <c r="J87" s="81"/>
      <c r="K87" s="82"/>
      <c r="L87" s="85"/>
      <c r="M87" s="16" t="s">
        <v>194</v>
      </c>
    </row>
    <row r="88" spans="1:15" s="19" customFormat="1" ht="90" customHeight="1" x14ac:dyDescent="0.3">
      <c r="A88" s="77"/>
      <c r="B88" s="79"/>
      <c r="C88" s="79"/>
      <c r="D88" s="16" t="s">
        <v>46</v>
      </c>
      <c r="E88" s="68" t="s">
        <v>139</v>
      </c>
      <c r="F88" s="18" t="s">
        <v>41</v>
      </c>
      <c r="G88" s="26">
        <v>0.9</v>
      </c>
      <c r="H88" s="26">
        <f>359/359</f>
        <v>1</v>
      </c>
      <c r="I88" s="26">
        <f>IF(H88/G88&gt;100%,100%,H88/G88)</f>
        <v>1</v>
      </c>
      <c r="J88" s="81"/>
      <c r="K88" s="82"/>
      <c r="L88" s="85"/>
      <c r="M88" s="60" t="s">
        <v>195</v>
      </c>
    </row>
    <row r="89" spans="1:15" s="19" customFormat="1" ht="66.75" customHeight="1" x14ac:dyDescent="0.3">
      <c r="A89" s="77"/>
      <c r="B89" s="79"/>
      <c r="C89" s="79"/>
      <c r="D89" s="16" t="s">
        <v>47</v>
      </c>
      <c r="E89" s="68" t="s">
        <v>141</v>
      </c>
      <c r="F89" s="18" t="s">
        <v>41</v>
      </c>
      <c r="G89" s="26">
        <v>1</v>
      </c>
      <c r="H89" s="26">
        <f>10/10</f>
        <v>1</v>
      </c>
      <c r="I89" s="26">
        <f t="shared" si="2"/>
        <v>1</v>
      </c>
      <c r="J89" s="81"/>
      <c r="K89" s="82"/>
      <c r="L89" s="85"/>
      <c r="M89" s="16" t="s">
        <v>215</v>
      </c>
    </row>
    <row r="90" spans="1:15" s="19" customFormat="1" ht="66" customHeight="1" x14ac:dyDescent="0.3">
      <c r="A90" s="78"/>
      <c r="B90" s="79"/>
      <c r="C90" s="79"/>
      <c r="D90" s="16" t="s">
        <v>39</v>
      </c>
      <c r="E90" s="68" t="s">
        <v>142</v>
      </c>
      <c r="F90" s="18" t="s">
        <v>50</v>
      </c>
      <c r="G90" s="72">
        <f>470+250</f>
        <v>720</v>
      </c>
      <c r="H90" s="72">
        <f>536+263</f>
        <v>799</v>
      </c>
      <c r="I90" s="26">
        <f t="shared" si="2"/>
        <v>1</v>
      </c>
      <c r="J90" s="26">
        <f>I90</f>
        <v>1</v>
      </c>
      <c r="K90" s="83"/>
      <c r="L90" s="86"/>
      <c r="M90" s="16" t="s">
        <v>51</v>
      </c>
    </row>
    <row r="91" spans="1:15" s="19" customFormat="1" ht="106.5" customHeight="1" x14ac:dyDescent="0.3">
      <c r="A91" s="75" t="s">
        <v>29</v>
      </c>
      <c r="B91" s="87" t="s">
        <v>121</v>
      </c>
      <c r="C91" s="79" t="s">
        <v>119</v>
      </c>
      <c r="D91" s="16" t="s">
        <v>44</v>
      </c>
      <c r="E91" s="68" t="s">
        <v>137</v>
      </c>
      <c r="F91" s="18" t="s">
        <v>41</v>
      </c>
      <c r="G91" s="25">
        <v>1</v>
      </c>
      <c r="H91" s="25">
        <f>H97/(H97)</f>
        <v>1</v>
      </c>
      <c r="I91" s="26">
        <f t="shared" si="2"/>
        <v>1</v>
      </c>
      <c r="J91" s="80">
        <f>(I91+I92+I93)/3</f>
        <v>1</v>
      </c>
      <c r="K91" s="80">
        <f>(J91+J97)/2</f>
        <v>1</v>
      </c>
      <c r="L91" s="91" t="str">
        <f>IF(K91&lt;90%,"не выполнено",IF(K91&lt;100%,"в целом выполнено","выполнено"))</f>
        <v>выполнено</v>
      </c>
      <c r="M91" s="16" t="s">
        <v>176</v>
      </c>
    </row>
    <row r="92" spans="1:15" s="19" customFormat="1" ht="108" customHeight="1" x14ac:dyDescent="0.3">
      <c r="A92" s="76"/>
      <c r="B92" s="77"/>
      <c r="C92" s="79"/>
      <c r="D92" s="16" t="s">
        <v>45</v>
      </c>
      <c r="E92" s="68" t="s">
        <v>138</v>
      </c>
      <c r="F92" s="18" t="s">
        <v>42</v>
      </c>
      <c r="G92" s="69">
        <v>0</v>
      </c>
      <c r="H92" s="69">
        <f>2-2</f>
        <v>0</v>
      </c>
      <c r="I92" s="25">
        <f>IF(H92=0,100%,IF(H92=1,98%,IF(H92=2,96%,IF(H92=3,94%,IF(H92=4,92%,IF(H92=5,90%,89.9%))))))</f>
        <v>1</v>
      </c>
      <c r="J92" s="81"/>
      <c r="K92" s="81"/>
      <c r="L92" s="91"/>
      <c r="M92" s="60" t="s">
        <v>256</v>
      </c>
    </row>
    <row r="93" spans="1:15" s="19" customFormat="1" ht="65.25" customHeight="1" x14ac:dyDescent="0.3">
      <c r="A93" s="76"/>
      <c r="B93" s="77"/>
      <c r="C93" s="79"/>
      <c r="D93" s="16" t="s">
        <v>46</v>
      </c>
      <c r="E93" s="68" t="s">
        <v>43</v>
      </c>
      <c r="F93" s="18" t="s">
        <v>41</v>
      </c>
      <c r="G93" s="26">
        <v>0.9</v>
      </c>
      <c r="H93" s="26">
        <f>38/42</f>
        <v>0.90476190476190477</v>
      </c>
      <c r="I93" s="26">
        <f>IF(H93&lt;90%,89.9%,100%)</f>
        <v>1</v>
      </c>
      <c r="J93" s="81"/>
      <c r="K93" s="81"/>
      <c r="L93" s="91"/>
      <c r="M93" s="16" t="s">
        <v>128</v>
      </c>
    </row>
    <row r="94" spans="1:15" s="19" customFormat="1" ht="90.75" customHeight="1" x14ac:dyDescent="0.3">
      <c r="A94" s="76"/>
      <c r="B94" s="77"/>
      <c r="C94" s="79"/>
      <c r="D94" s="16" t="s">
        <v>47</v>
      </c>
      <c r="E94" s="68" t="s">
        <v>139</v>
      </c>
      <c r="F94" s="18" t="s">
        <v>41</v>
      </c>
      <c r="G94" s="26">
        <v>0.9</v>
      </c>
      <c r="H94" s="26">
        <f>84/84</f>
        <v>1</v>
      </c>
      <c r="I94" s="26">
        <f t="shared" ref="I94:I103" si="3">IF(H94/G94&gt;100%,100%,H94/G94)</f>
        <v>1</v>
      </c>
      <c r="J94" s="81"/>
      <c r="K94" s="81"/>
      <c r="L94" s="91"/>
      <c r="M94" s="16" t="s">
        <v>196</v>
      </c>
    </row>
    <row r="95" spans="1:15" s="19" customFormat="1" ht="69.75" customHeight="1" x14ac:dyDescent="0.3">
      <c r="A95" s="76"/>
      <c r="B95" s="77"/>
      <c r="C95" s="79"/>
      <c r="D95" s="16" t="s">
        <v>48</v>
      </c>
      <c r="E95" s="68" t="s">
        <v>141</v>
      </c>
      <c r="F95" s="18" t="s">
        <v>41</v>
      </c>
      <c r="G95" s="26">
        <v>1</v>
      </c>
      <c r="H95" s="26">
        <f>19/19</f>
        <v>1</v>
      </c>
      <c r="I95" s="26">
        <f t="shared" si="3"/>
        <v>1</v>
      </c>
      <c r="J95" s="81"/>
      <c r="K95" s="81"/>
      <c r="L95" s="91"/>
      <c r="M95" s="16" t="s">
        <v>216</v>
      </c>
    </row>
    <row r="96" spans="1:15" s="19" customFormat="1" ht="55.5" customHeight="1" x14ac:dyDescent="0.3">
      <c r="A96" s="76"/>
      <c r="B96" s="77"/>
      <c r="C96" s="79"/>
      <c r="D96" s="16" t="s">
        <v>140</v>
      </c>
      <c r="E96" s="68" t="s">
        <v>49</v>
      </c>
      <c r="F96" s="18" t="s">
        <v>41</v>
      </c>
      <c r="G96" s="26">
        <v>0.91</v>
      </c>
      <c r="H96" s="26">
        <f>9.3/10</f>
        <v>0.93</v>
      </c>
      <c r="I96" s="26">
        <f t="shared" si="3"/>
        <v>1</v>
      </c>
      <c r="J96" s="88"/>
      <c r="K96" s="81"/>
      <c r="L96" s="91"/>
      <c r="M96" s="16" t="s">
        <v>218</v>
      </c>
    </row>
    <row r="97" spans="1:15" s="19" customFormat="1" ht="66.75" customHeight="1" x14ac:dyDescent="0.3">
      <c r="A97" s="76"/>
      <c r="B97" s="77"/>
      <c r="C97" s="79"/>
      <c r="D97" s="16" t="s">
        <v>39</v>
      </c>
      <c r="E97" s="68" t="s">
        <v>142</v>
      </c>
      <c r="F97" s="18" t="s">
        <v>50</v>
      </c>
      <c r="G97" s="73">
        <f>170+1926</f>
        <v>2096</v>
      </c>
      <c r="H97" s="73">
        <f>198+2130</f>
        <v>2328</v>
      </c>
      <c r="I97" s="26">
        <f t="shared" si="3"/>
        <v>1</v>
      </c>
      <c r="J97" s="26">
        <f>I97</f>
        <v>1</v>
      </c>
      <c r="K97" s="88"/>
      <c r="L97" s="91"/>
      <c r="M97" s="16" t="s">
        <v>51</v>
      </c>
    </row>
    <row r="98" spans="1:15" s="19" customFormat="1" ht="106.5" customHeight="1" x14ac:dyDescent="0.3">
      <c r="A98" s="77"/>
      <c r="B98" s="79" t="s">
        <v>122</v>
      </c>
      <c r="C98" s="79" t="s">
        <v>119</v>
      </c>
      <c r="D98" s="16" t="s">
        <v>44</v>
      </c>
      <c r="E98" s="71" t="s">
        <v>137</v>
      </c>
      <c r="F98" s="18" t="s">
        <v>41</v>
      </c>
      <c r="G98" s="25">
        <v>1</v>
      </c>
      <c r="H98" s="25">
        <f>H102/H102</f>
        <v>1</v>
      </c>
      <c r="I98" s="26">
        <f t="shared" si="3"/>
        <v>1</v>
      </c>
      <c r="J98" s="80">
        <f>(I98+I99)/2</f>
        <v>1</v>
      </c>
      <c r="K98" s="80">
        <f>(J98+J102)/2</f>
        <v>1</v>
      </c>
      <c r="L98" s="84" t="str">
        <f>IF(K98&lt;90%,"не выполнено",IF(K98&lt;100%,"в целом выполнено","выполнено"))</f>
        <v>выполнено</v>
      </c>
      <c r="M98" s="16" t="s">
        <v>175</v>
      </c>
      <c r="O98" s="22"/>
    </row>
    <row r="99" spans="1:15" s="19" customFormat="1" ht="66.75" customHeight="1" x14ac:dyDescent="0.3">
      <c r="A99" s="77"/>
      <c r="B99" s="79"/>
      <c r="C99" s="79"/>
      <c r="D99" s="16" t="s">
        <v>45</v>
      </c>
      <c r="E99" s="68" t="s">
        <v>43</v>
      </c>
      <c r="F99" s="18" t="s">
        <v>41</v>
      </c>
      <c r="G99" s="26">
        <v>0.9</v>
      </c>
      <c r="H99" s="26">
        <f>80/80</f>
        <v>1</v>
      </c>
      <c r="I99" s="26">
        <f>IF(H99&lt;90%,89.9%,100%)</f>
        <v>1</v>
      </c>
      <c r="J99" s="81"/>
      <c r="K99" s="82"/>
      <c r="L99" s="85"/>
      <c r="M99" s="16" t="s">
        <v>126</v>
      </c>
    </row>
    <row r="100" spans="1:15" s="19" customFormat="1" ht="90" customHeight="1" x14ac:dyDescent="0.3">
      <c r="A100" s="77"/>
      <c r="B100" s="79"/>
      <c r="C100" s="79"/>
      <c r="D100" s="16" t="s">
        <v>46</v>
      </c>
      <c r="E100" s="68" t="s">
        <v>139</v>
      </c>
      <c r="F100" s="18" t="s">
        <v>41</v>
      </c>
      <c r="G100" s="26">
        <v>0.9</v>
      </c>
      <c r="H100" s="26">
        <f>337/337</f>
        <v>1</v>
      </c>
      <c r="I100" s="26">
        <f>IF(H100/G100&gt;100%,100%,H100/G100)</f>
        <v>1</v>
      </c>
      <c r="J100" s="81"/>
      <c r="K100" s="82"/>
      <c r="L100" s="85"/>
      <c r="M100" s="60" t="s">
        <v>197</v>
      </c>
    </row>
    <row r="101" spans="1:15" s="19" customFormat="1" ht="66.75" customHeight="1" x14ac:dyDescent="0.3">
      <c r="A101" s="77"/>
      <c r="B101" s="79"/>
      <c r="C101" s="79"/>
      <c r="D101" s="16" t="s">
        <v>47</v>
      </c>
      <c r="E101" s="68" t="s">
        <v>141</v>
      </c>
      <c r="F101" s="18" t="s">
        <v>41</v>
      </c>
      <c r="G101" s="26">
        <v>1</v>
      </c>
      <c r="H101" s="26">
        <f>14/14</f>
        <v>1</v>
      </c>
      <c r="I101" s="26">
        <f t="shared" si="3"/>
        <v>1</v>
      </c>
      <c r="J101" s="81"/>
      <c r="K101" s="82"/>
      <c r="L101" s="85"/>
      <c r="M101" s="16" t="s">
        <v>211</v>
      </c>
    </row>
    <row r="102" spans="1:15" s="19" customFormat="1" ht="66" customHeight="1" x14ac:dyDescent="0.3">
      <c r="A102" s="78"/>
      <c r="B102" s="79"/>
      <c r="C102" s="79"/>
      <c r="D102" s="16" t="s">
        <v>39</v>
      </c>
      <c r="E102" s="68" t="s">
        <v>142</v>
      </c>
      <c r="F102" s="18" t="s">
        <v>50</v>
      </c>
      <c r="G102" s="72">
        <f>610+414</f>
        <v>1024</v>
      </c>
      <c r="H102" s="72">
        <f>670+439</f>
        <v>1109</v>
      </c>
      <c r="I102" s="26">
        <f t="shared" si="3"/>
        <v>1</v>
      </c>
      <c r="J102" s="26">
        <f>I102</f>
        <v>1</v>
      </c>
      <c r="K102" s="83"/>
      <c r="L102" s="86"/>
      <c r="M102" s="16" t="s">
        <v>51</v>
      </c>
    </row>
    <row r="103" spans="1:15" s="19" customFormat="1" ht="106.5" customHeight="1" x14ac:dyDescent="0.3">
      <c r="A103" s="75" t="s">
        <v>28</v>
      </c>
      <c r="B103" s="87" t="s">
        <v>121</v>
      </c>
      <c r="C103" s="79" t="s">
        <v>119</v>
      </c>
      <c r="D103" s="16" t="s">
        <v>44</v>
      </c>
      <c r="E103" s="68" t="s">
        <v>137</v>
      </c>
      <c r="F103" s="18" t="s">
        <v>41</v>
      </c>
      <c r="G103" s="25">
        <v>1</v>
      </c>
      <c r="H103" s="25">
        <f>H109/(H109)</f>
        <v>1</v>
      </c>
      <c r="I103" s="26">
        <f t="shared" si="3"/>
        <v>1</v>
      </c>
      <c r="J103" s="80">
        <f>(I103+I104+I105)/3</f>
        <v>1</v>
      </c>
      <c r="K103" s="80">
        <f>(J103+J109)/2</f>
        <v>1</v>
      </c>
      <c r="L103" s="91" t="str">
        <f>IF(K103&lt;90%,"не выполнено",IF(K103&lt;100%,"в целом выполнено","выполнено"))</f>
        <v>выполнено</v>
      </c>
      <c r="M103" s="16" t="s">
        <v>177</v>
      </c>
    </row>
    <row r="104" spans="1:15" s="19" customFormat="1" ht="78.75" customHeight="1" x14ac:dyDescent="0.3">
      <c r="A104" s="76"/>
      <c r="B104" s="77"/>
      <c r="C104" s="79"/>
      <c r="D104" s="16" t="s">
        <v>45</v>
      </c>
      <c r="E104" s="68" t="s">
        <v>138</v>
      </c>
      <c r="F104" s="18" t="s">
        <v>42</v>
      </c>
      <c r="G104" s="69">
        <v>0</v>
      </c>
      <c r="H104" s="69">
        <v>0</v>
      </c>
      <c r="I104" s="25">
        <f>IF(H104=0,100%,IF(H104=1,98%,IF(H104=2,96%,IF(H104=3,94%,IF(H104=4,92%,IF(H104=5,90%,89.9%))))))</f>
        <v>1</v>
      </c>
      <c r="J104" s="81"/>
      <c r="K104" s="81"/>
      <c r="L104" s="91"/>
      <c r="M104" s="16" t="s">
        <v>52</v>
      </c>
    </row>
    <row r="105" spans="1:15" s="19" customFormat="1" ht="65.25" customHeight="1" x14ac:dyDescent="0.3">
      <c r="A105" s="76"/>
      <c r="B105" s="77"/>
      <c r="C105" s="79"/>
      <c r="D105" s="16" t="s">
        <v>46</v>
      </c>
      <c r="E105" s="68" t="s">
        <v>43</v>
      </c>
      <c r="F105" s="18" t="s">
        <v>41</v>
      </c>
      <c r="G105" s="26">
        <v>0.9</v>
      </c>
      <c r="H105" s="26">
        <f>19/20</f>
        <v>0.95</v>
      </c>
      <c r="I105" s="26">
        <f>IF(H105&lt;90%,89.9%,100%)</f>
        <v>1</v>
      </c>
      <c r="J105" s="81"/>
      <c r="K105" s="81"/>
      <c r="L105" s="91"/>
      <c r="M105" s="16" t="s">
        <v>127</v>
      </c>
    </row>
    <row r="106" spans="1:15" s="19" customFormat="1" ht="90.75" customHeight="1" x14ac:dyDescent="0.3">
      <c r="A106" s="76"/>
      <c r="B106" s="77"/>
      <c r="C106" s="79"/>
      <c r="D106" s="16" t="s">
        <v>47</v>
      </c>
      <c r="E106" s="68" t="s">
        <v>139</v>
      </c>
      <c r="F106" s="18" t="s">
        <v>41</v>
      </c>
      <c r="G106" s="26">
        <v>0.9</v>
      </c>
      <c r="H106" s="26">
        <f>27/27</f>
        <v>1</v>
      </c>
      <c r="I106" s="26">
        <f t="shared" ref="I106:I115" si="4">IF(H106/G106&gt;100%,100%,H106/G106)</f>
        <v>1</v>
      </c>
      <c r="J106" s="81"/>
      <c r="K106" s="81"/>
      <c r="L106" s="91"/>
      <c r="M106" s="16" t="s">
        <v>198</v>
      </c>
    </row>
    <row r="107" spans="1:15" s="19" customFormat="1" ht="69.75" customHeight="1" x14ac:dyDescent="0.3">
      <c r="A107" s="76"/>
      <c r="B107" s="77"/>
      <c r="C107" s="79"/>
      <c r="D107" s="16" t="s">
        <v>48</v>
      </c>
      <c r="E107" s="68" t="s">
        <v>141</v>
      </c>
      <c r="F107" s="18" t="s">
        <v>41</v>
      </c>
      <c r="G107" s="26">
        <v>1</v>
      </c>
      <c r="H107" s="26">
        <f>14/14</f>
        <v>1</v>
      </c>
      <c r="I107" s="26">
        <f t="shared" si="4"/>
        <v>1</v>
      </c>
      <c r="J107" s="81"/>
      <c r="K107" s="81"/>
      <c r="L107" s="91"/>
      <c r="M107" s="16" t="s">
        <v>211</v>
      </c>
    </row>
    <row r="108" spans="1:15" s="19" customFormat="1" ht="55.5" customHeight="1" x14ac:dyDescent="0.3">
      <c r="A108" s="76"/>
      <c r="B108" s="77"/>
      <c r="C108" s="79"/>
      <c r="D108" s="16" t="s">
        <v>140</v>
      </c>
      <c r="E108" s="68" t="s">
        <v>49</v>
      </c>
      <c r="F108" s="18" t="s">
        <v>41</v>
      </c>
      <c r="G108" s="26">
        <v>0.84</v>
      </c>
      <c r="H108" s="26">
        <f>9.87/10</f>
        <v>0.98699999999999988</v>
      </c>
      <c r="I108" s="26">
        <f t="shared" si="4"/>
        <v>1</v>
      </c>
      <c r="J108" s="88"/>
      <c r="K108" s="81"/>
      <c r="L108" s="91"/>
      <c r="M108" s="16" t="s">
        <v>219</v>
      </c>
    </row>
    <row r="109" spans="1:15" s="19" customFormat="1" ht="66.75" customHeight="1" x14ac:dyDescent="0.3">
      <c r="A109" s="76"/>
      <c r="B109" s="77"/>
      <c r="C109" s="79"/>
      <c r="D109" s="16" t="s">
        <v>39</v>
      </c>
      <c r="E109" s="68" t="s">
        <v>142</v>
      </c>
      <c r="F109" s="18" t="s">
        <v>50</v>
      </c>
      <c r="G109" s="72">
        <f>259+967</f>
        <v>1226</v>
      </c>
      <c r="H109" s="72">
        <f>260+1000</f>
        <v>1260</v>
      </c>
      <c r="I109" s="26">
        <f t="shared" si="4"/>
        <v>1</v>
      </c>
      <c r="J109" s="26">
        <f>I109</f>
        <v>1</v>
      </c>
      <c r="K109" s="88"/>
      <c r="L109" s="91"/>
      <c r="M109" s="16" t="s">
        <v>51</v>
      </c>
    </row>
    <row r="110" spans="1:15" s="19" customFormat="1" ht="106.5" customHeight="1" x14ac:dyDescent="0.3">
      <c r="A110" s="77"/>
      <c r="B110" s="79" t="s">
        <v>122</v>
      </c>
      <c r="C110" s="79" t="s">
        <v>119</v>
      </c>
      <c r="D110" s="16" t="s">
        <v>44</v>
      </c>
      <c r="E110" s="71" t="s">
        <v>137</v>
      </c>
      <c r="F110" s="18" t="s">
        <v>41</v>
      </c>
      <c r="G110" s="25">
        <v>1</v>
      </c>
      <c r="H110" s="25">
        <f>H114/H114</f>
        <v>1</v>
      </c>
      <c r="I110" s="26">
        <f t="shared" si="4"/>
        <v>1</v>
      </c>
      <c r="J110" s="80">
        <f>(I110+I111)/2</f>
        <v>1</v>
      </c>
      <c r="K110" s="80">
        <f>(J110+J114)/2</f>
        <v>1</v>
      </c>
      <c r="L110" s="84" t="str">
        <f>IF(K110&lt;90%,"не выполнено",IF(K110&lt;100%,"в целом выполнено","выполнено"))</f>
        <v>выполнено</v>
      </c>
      <c r="M110" s="16" t="s">
        <v>178</v>
      </c>
      <c r="O110" s="22"/>
    </row>
    <row r="111" spans="1:15" s="19" customFormat="1" ht="66.75" customHeight="1" x14ac:dyDescent="0.3">
      <c r="A111" s="77"/>
      <c r="B111" s="79"/>
      <c r="C111" s="79"/>
      <c r="D111" s="16" t="s">
        <v>45</v>
      </c>
      <c r="E111" s="68" t="s">
        <v>43</v>
      </c>
      <c r="F111" s="18" t="s">
        <v>41</v>
      </c>
      <c r="G111" s="26">
        <v>0.9</v>
      </c>
      <c r="H111" s="26">
        <f>80/81</f>
        <v>0.98765432098765427</v>
      </c>
      <c r="I111" s="26">
        <f>IF(H111&lt;90%,89.9%,100%)</f>
        <v>1</v>
      </c>
      <c r="J111" s="81"/>
      <c r="K111" s="82"/>
      <c r="L111" s="85"/>
      <c r="M111" s="16" t="s">
        <v>191</v>
      </c>
    </row>
    <row r="112" spans="1:15" s="19" customFormat="1" ht="90" customHeight="1" x14ac:dyDescent="0.3">
      <c r="A112" s="77"/>
      <c r="B112" s="79"/>
      <c r="C112" s="79"/>
      <c r="D112" s="16" t="s">
        <v>46</v>
      </c>
      <c r="E112" s="68" t="s">
        <v>139</v>
      </c>
      <c r="F112" s="18" t="s">
        <v>41</v>
      </c>
      <c r="G112" s="26">
        <v>0.9</v>
      </c>
      <c r="H112" s="26">
        <f>320/320</f>
        <v>1</v>
      </c>
      <c r="I112" s="26">
        <f>IF(H112/G112&gt;100%,100%,H112/G112)</f>
        <v>1</v>
      </c>
      <c r="J112" s="81"/>
      <c r="K112" s="82"/>
      <c r="L112" s="85"/>
      <c r="M112" s="60" t="s">
        <v>199</v>
      </c>
    </row>
    <row r="113" spans="1:15" s="19" customFormat="1" ht="66.75" customHeight="1" x14ac:dyDescent="0.3">
      <c r="A113" s="77"/>
      <c r="B113" s="79"/>
      <c r="C113" s="79"/>
      <c r="D113" s="16" t="s">
        <v>47</v>
      </c>
      <c r="E113" s="68" t="s">
        <v>141</v>
      </c>
      <c r="F113" s="18" t="s">
        <v>41</v>
      </c>
      <c r="G113" s="26">
        <v>1</v>
      </c>
      <c r="H113" s="26">
        <f>10/10</f>
        <v>1</v>
      </c>
      <c r="I113" s="26">
        <f t="shared" si="4"/>
        <v>1</v>
      </c>
      <c r="J113" s="81"/>
      <c r="K113" s="82"/>
      <c r="L113" s="85"/>
      <c r="M113" s="16" t="s">
        <v>215</v>
      </c>
    </row>
    <row r="114" spans="1:15" s="19" customFormat="1" ht="66" customHeight="1" x14ac:dyDescent="0.3">
      <c r="A114" s="78"/>
      <c r="B114" s="79"/>
      <c r="C114" s="79"/>
      <c r="D114" s="16" t="s">
        <v>39</v>
      </c>
      <c r="E114" s="68" t="s">
        <v>142</v>
      </c>
      <c r="F114" s="18" t="s">
        <v>50</v>
      </c>
      <c r="G114" s="70">
        <f>755+229</f>
        <v>984</v>
      </c>
      <c r="H114" s="70">
        <f>918+370</f>
        <v>1288</v>
      </c>
      <c r="I114" s="26">
        <f t="shared" si="4"/>
        <v>1</v>
      </c>
      <c r="J114" s="26">
        <f>I114</f>
        <v>1</v>
      </c>
      <c r="K114" s="83"/>
      <c r="L114" s="86"/>
      <c r="M114" s="16" t="s">
        <v>51</v>
      </c>
    </row>
    <row r="115" spans="1:15" s="19" customFormat="1" ht="106.5" customHeight="1" x14ac:dyDescent="0.3">
      <c r="A115" s="75" t="s">
        <v>27</v>
      </c>
      <c r="B115" s="87" t="s">
        <v>121</v>
      </c>
      <c r="C115" s="79" t="s">
        <v>119</v>
      </c>
      <c r="D115" s="16" t="s">
        <v>44</v>
      </c>
      <c r="E115" s="68" t="s">
        <v>137</v>
      </c>
      <c r="F115" s="18" t="s">
        <v>41</v>
      </c>
      <c r="G115" s="25">
        <v>1</v>
      </c>
      <c r="H115" s="25">
        <f>H121/H121</f>
        <v>1</v>
      </c>
      <c r="I115" s="26">
        <f t="shared" si="4"/>
        <v>1</v>
      </c>
      <c r="J115" s="80">
        <f>(I115+I116+I117)/3</f>
        <v>1</v>
      </c>
      <c r="K115" s="80">
        <f>(J115+J121)/2</f>
        <v>1</v>
      </c>
      <c r="L115" s="91" t="str">
        <f>IF(K115&lt;90%,"не выполнено",IF(K115&lt;100%,"в целом выполнено","выполнено"))</f>
        <v>выполнено</v>
      </c>
      <c r="M115" s="16" t="s">
        <v>179</v>
      </c>
    </row>
    <row r="116" spans="1:15" s="19" customFormat="1" ht="78.75" customHeight="1" x14ac:dyDescent="0.3">
      <c r="A116" s="76"/>
      <c r="B116" s="77"/>
      <c r="C116" s="79"/>
      <c r="D116" s="16" t="s">
        <v>45</v>
      </c>
      <c r="E116" s="68" t="s">
        <v>138</v>
      </c>
      <c r="F116" s="18" t="s">
        <v>42</v>
      </c>
      <c r="G116" s="69">
        <v>0</v>
      </c>
      <c r="H116" s="69">
        <v>0</v>
      </c>
      <c r="I116" s="25">
        <f>IF(H116=0,100%,IF(H116=1,98%,IF(H116=2,96%,IF(H116=3,94%,IF(H116=4,92%,IF(H116=5,90%,89.9%))))))</f>
        <v>1</v>
      </c>
      <c r="J116" s="81"/>
      <c r="K116" s="81"/>
      <c r="L116" s="91"/>
      <c r="M116" s="16" t="s">
        <v>52</v>
      </c>
    </row>
    <row r="117" spans="1:15" s="19" customFormat="1" ht="65.25" customHeight="1" x14ac:dyDescent="0.3">
      <c r="A117" s="76"/>
      <c r="B117" s="77"/>
      <c r="C117" s="79"/>
      <c r="D117" s="16" t="s">
        <v>46</v>
      </c>
      <c r="E117" s="68" t="s">
        <v>43</v>
      </c>
      <c r="F117" s="18" t="s">
        <v>41</v>
      </c>
      <c r="G117" s="26">
        <v>0.9</v>
      </c>
      <c r="H117" s="26">
        <f>14/15</f>
        <v>0.93333333333333335</v>
      </c>
      <c r="I117" s="26">
        <f>IF(H117&lt;90%,89.9%,100%)</f>
        <v>1</v>
      </c>
      <c r="J117" s="81"/>
      <c r="K117" s="81"/>
      <c r="L117" s="91"/>
      <c r="M117" s="16" t="s">
        <v>147</v>
      </c>
    </row>
    <row r="118" spans="1:15" s="19" customFormat="1" ht="90.75" customHeight="1" x14ac:dyDescent="0.3">
      <c r="A118" s="76"/>
      <c r="B118" s="77"/>
      <c r="C118" s="79"/>
      <c r="D118" s="16" t="s">
        <v>47</v>
      </c>
      <c r="E118" s="68" t="s">
        <v>139</v>
      </c>
      <c r="F118" s="18" t="s">
        <v>41</v>
      </c>
      <c r="G118" s="26">
        <v>0.9</v>
      </c>
      <c r="H118" s="26">
        <f>79/80</f>
        <v>0.98750000000000004</v>
      </c>
      <c r="I118" s="26">
        <f t="shared" ref="I118:I127" si="5">IF(H118/G118&gt;100%,100%,H118/G118)</f>
        <v>1</v>
      </c>
      <c r="J118" s="81"/>
      <c r="K118" s="81"/>
      <c r="L118" s="91"/>
      <c r="M118" s="16" t="s">
        <v>200</v>
      </c>
    </row>
    <row r="119" spans="1:15" s="19" customFormat="1" ht="69.75" customHeight="1" x14ac:dyDescent="0.3">
      <c r="A119" s="76"/>
      <c r="B119" s="77"/>
      <c r="C119" s="79"/>
      <c r="D119" s="16" t="s">
        <v>48</v>
      </c>
      <c r="E119" s="68" t="s">
        <v>141</v>
      </c>
      <c r="F119" s="18" t="s">
        <v>41</v>
      </c>
      <c r="G119" s="26">
        <v>1</v>
      </c>
      <c r="H119" s="26">
        <f>13/13</f>
        <v>1</v>
      </c>
      <c r="I119" s="26">
        <f t="shared" si="5"/>
        <v>1</v>
      </c>
      <c r="J119" s="81"/>
      <c r="K119" s="81"/>
      <c r="L119" s="91"/>
      <c r="M119" s="16" t="s">
        <v>217</v>
      </c>
    </row>
    <row r="120" spans="1:15" s="19" customFormat="1" ht="55.5" customHeight="1" x14ac:dyDescent="0.3">
      <c r="A120" s="76"/>
      <c r="B120" s="77"/>
      <c r="C120" s="79"/>
      <c r="D120" s="16" t="s">
        <v>140</v>
      </c>
      <c r="E120" s="68" t="s">
        <v>49</v>
      </c>
      <c r="F120" s="18" t="s">
        <v>41</v>
      </c>
      <c r="G120" s="26">
        <v>0.7</v>
      </c>
      <c r="H120" s="26">
        <f>9.53/10</f>
        <v>0.95299999999999996</v>
      </c>
      <c r="I120" s="26">
        <f t="shared" si="5"/>
        <v>1</v>
      </c>
      <c r="J120" s="88"/>
      <c r="K120" s="81"/>
      <c r="L120" s="91"/>
      <c r="M120" s="16" t="s">
        <v>220</v>
      </c>
    </row>
    <row r="121" spans="1:15" s="19" customFormat="1" ht="66.75" customHeight="1" x14ac:dyDescent="0.3">
      <c r="A121" s="76"/>
      <c r="B121" s="77"/>
      <c r="C121" s="79"/>
      <c r="D121" s="16" t="s">
        <v>39</v>
      </c>
      <c r="E121" s="68" t="s">
        <v>142</v>
      </c>
      <c r="F121" s="18" t="s">
        <v>50</v>
      </c>
      <c r="G121" s="72">
        <f>145+1040</f>
        <v>1185</v>
      </c>
      <c r="H121" s="72">
        <f>145+1184</f>
        <v>1329</v>
      </c>
      <c r="I121" s="26">
        <f t="shared" si="5"/>
        <v>1</v>
      </c>
      <c r="J121" s="26">
        <f>I121</f>
        <v>1</v>
      </c>
      <c r="K121" s="88"/>
      <c r="L121" s="91"/>
      <c r="M121" s="16" t="s">
        <v>51</v>
      </c>
    </row>
    <row r="122" spans="1:15" s="19" customFormat="1" ht="106.5" customHeight="1" x14ac:dyDescent="0.3">
      <c r="A122" s="77"/>
      <c r="B122" s="79" t="s">
        <v>122</v>
      </c>
      <c r="C122" s="79" t="s">
        <v>119</v>
      </c>
      <c r="D122" s="16" t="s">
        <v>44</v>
      </c>
      <c r="E122" s="71" t="s">
        <v>137</v>
      </c>
      <c r="F122" s="18" t="s">
        <v>41</v>
      </c>
      <c r="G122" s="25">
        <v>1</v>
      </c>
      <c r="H122" s="25">
        <f>H126/H126</f>
        <v>1</v>
      </c>
      <c r="I122" s="26">
        <f t="shared" si="5"/>
        <v>1</v>
      </c>
      <c r="J122" s="80">
        <f>(I122+I123)/2</f>
        <v>1</v>
      </c>
      <c r="K122" s="80">
        <f>(J122+J126)/2</f>
        <v>1</v>
      </c>
      <c r="L122" s="84" t="str">
        <f>IF(K122&lt;90%,"не выполнено",IF(K122&lt;100%,"в целом выполнено","выполнено"))</f>
        <v>выполнено</v>
      </c>
      <c r="M122" s="16" t="s">
        <v>180</v>
      </c>
      <c r="O122" s="22"/>
    </row>
    <row r="123" spans="1:15" s="19" customFormat="1" ht="66.75" customHeight="1" x14ac:dyDescent="0.3">
      <c r="A123" s="77"/>
      <c r="B123" s="79"/>
      <c r="C123" s="79"/>
      <c r="D123" s="16" t="s">
        <v>45</v>
      </c>
      <c r="E123" s="68" t="s">
        <v>43</v>
      </c>
      <c r="F123" s="18" t="s">
        <v>41</v>
      </c>
      <c r="G123" s="26">
        <v>0.9</v>
      </c>
      <c r="H123" s="26">
        <f>60/60</f>
        <v>1</v>
      </c>
      <c r="I123" s="26">
        <f>IF(H123&lt;90%,89.9%,100%)</f>
        <v>1</v>
      </c>
      <c r="J123" s="81"/>
      <c r="K123" s="82"/>
      <c r="L123" s="85"/>
      <c r="M123" s="16" t="s">
        <v>190</v>
      </c>
    </row>
    <row r="124" spans="1:15" s="19" customFormat="1" ht="90" customHeight="1" x14ac:dyDescent="0.3">
      <c r="A124" s="77"/>
      <c r="B124" s="79"/>
      <c r="C124" s="79"/>
      <c r="D124" s="16" t="s">
        <v>46</v>
      </c>
      <c r="E124" s="68" t="s">
        <v>139</v>
      </c>
      <c r="F124" s="18" t="s">
        <v>41</v>
      </c>
      <c r="G124" s="26">
        <v>0.9</v>
      </c>
      <c r="H124" s="26">
        <f>436/441</f>
        <v>0.9886621315192744</v>
      </c>
      <c r="I124" s="26">
        <f>IF(H124/G124&gt;100%,100%,H124/G124)</f>
        <v>1</v>
      </c>
      <c r="J124" s="81"/>
      <c r="K124" s="82"/>
      <c r="L124" s="85"/>
      <c r="M124" s="60" t="s">
        <v>201</v>
      </c>
    </row>
    <row r="125" spans="1:15" s="19" customFormat="1" ht="66.75" customHeight="1" x14ac:dyDescent="0.3">
      <c r="A125" s="77"/>
      <c r="B125" s="79"/>
      <c r="C125" s="79"/>
      <c r="D125" s="16" t="s">
        <v>47</v>
      </c>
      <c r="E125" s="68" t="s">
        <v>141</v>
      </c>
      <c r="F125" s="18" t="s">
        <v>41</v>
      </c>
      <c r="G125" s="26">
        <v>1</v>
      </c>
      <c r="H125" s="26">
        <f>10/10</f>
        <v>1</v>
      </c>
      <c r="I125" s="26">
        <f t="shared" si="5"/>
        <v>1</v>
      </c>
      <c r="J125" s="81"/>
      <c r="K125" s="82"/>
      <c r="L125" s="85"/>
      <c r="M125" s="16" t="s">
        <v>215</v>
      </c>
    </row>
    <row r="126" spans="1:15" s="19" customFormat="1" ht="66" customHeight="1" x14ac:dyDescent="0.3">
      <c r="A126" s="78"/>
      <c r="B126" s="79"/>
      <c r="C126" s="79"/>
      <c r="D126" s="16" t="s">
        <v>39</v>
      </c>
      <c r="E126" s="68" t="s">
        <v>142</v>
      </c>
      <c r="F126" s="18" t="s">
        <v>50</v>
      </c>
      <c r="G126" s="72">
        <f>568+257</f>
        <v>825</v>
      </c>
      <c r="H126" s="72">
        <f>594+287</f>
        <v>881</v>
      </c>
      <c r="I126" s="26">
        <f t="shared" si="5"/>
        <v>1</v>
      </c>
      <c r="J126" s="26">
        <f>I126</f>
        <v>1</v>
      </c>
      <c r="K126" s="83"/>
      <c r="L126" s="86"/>
      <c r="M126" s="16" t="s">
        <v>51</v>
      </c>
    </row>
    <row r="127" spans="1:15" s="19" customFormat="1" ht="106.5" customHeight="1" x14ac:dyDescent="0.3">
      <c r="A127" s="75" t="s">
        <v>26</v>
      </c>
      <c r="B127" s="87" t="s">
        <v>121</v>
      </c>
      <c r="C127" s="79" t="s">
        <v>119</v>
      </c>
      <c r="D127" s="16" t="s">
        <v>44</v>
      </c>
      <c r="E127" s="68" t="s">
        <v>137</v>
      </c>
      <c r="F127" s="18" t="s">
        <v>41</v>
      </c>
      <c r="G127" s="25">
        <v>1</v>
      </c>
      <c r="H127" s="25">
        <f>H133/(H133)</f>
        <v>1</v>
      </c>
      <c r="I127" s="26">
        <f t="shared" si="5"/>
        <v>1</v>
      </c>
      <c r="J127" s="80">
        <f>(I127+I128+I129)/3</f>
        <v>1</v>
      </c>
      <c r="K127" s="80">
        <f>(J127+J133)/2</f>
        <v>1</v>
      </c>
      <c r="L127" s="91" t="str">
        <f>IF(K127&lt;90%,"не выполнено",IF(K127&lt;100%,"в целом выполнено","выполнено"))</f>
        <v>выполнено</v>
      </c>
      <c r="M127" s="16" t="s">
        <v>181</v>
      </c>
    </row>
    <row r="128" spans="1:15" s="19" customFormat="1" ht="78.75" customHeight="1" x14ac:dyDescent="0.3">
      <c r="A128" s="76"/>
      <c r="B128" s="77"/>
      <c r="C128" s="79"/>
      <c r="D128" s="16" t="s">
        <v>45</v>
      </c>
      <c r="E128" s="68" t="s">
        <v>138</v>
      </c>
      <c r="F128" s="18" t="s">
        <v>42</v>
      </c>
      <c r="G128" s="69">
        <v>0</v>
      </c>
      <c r="H128" s="69">
        <v>0</v>
      </c>
      <c r="I128" s="25">
        <f>IF(H128=0,100%,IF(H128=1,98%,IF(H128=2,96%,IF(H128=3,94%,IF(H128=4,92%,IF(H128=5,90%,89.9%))))))</f>
        <v>1</v>
      </c>
      <c r="J128" s="81"/>
      <c r="K128" s="81"/>
      <c r="L128" s="91"/>
      <c r="M128" s="16" t="s">
        <v>52</v>
      </c>
    </row>
    <row r="129" spans="1:15" s="19" customFormat="1" ht="65.25" customHeight="1" x14ac:dyDescent="0.3">
      <c r="A129" s="76"/>
      <c r="B129" s="77"/>
      <c r="C129" s="79"/>
      <c r="D129" s="16" t="s">
        <v>46</v>
      </c>
      <c r="E129" s="68" t="s">
        <v>43</v>
      </c>
      <c r="F129" s="18" t="s">
        <v>41</v>
      </c>
      <c r="G129" s="26">
        <v>0.9</v>
      </c>
      <c r="H129" s="26">
        <f>34.5/38</f>
        <v>0.90789473684210531</v>
      </c>
      <c r="I129" s="26">
        <f>IF(H129&lt;90%,89.9%,100%)</f>
        <v>1</v>
      </c>
      <c r="J129" s="81"/>
      <c r="K129" s="81"/>
      <c r="L129" s="91"/>
      <c r="M129" s="16" t="s">
        <v>189</v>
      </c>
    </row>
    <row r="130" spans="1:15" s="19" customFormat="1" ht="90.75" customHeight="1" x14ac:dyDescent="0.3">
      <c r="A130" s="76"/>
      <c r="B130" s="77"/>
      <c r="C130" s="79"/>
      <c r="D130" s="16" t="s">
        <v>47</v>
      </c>
      <c r="E130" s="68" t="s">
        <v>139</v>
      </c>
      <c r="F130" s="18" t="s">
        <v>41</v>
      </c>
      <c r="G130" s="26">
        <v>0.9</v>
      </c>
      <c r="H130" s="26">
        <f>579/579</f>
        <v>1</v>
      </c>
      <c r="I130" s="26">
        <f t="shared" ref="I130:I138" si="6">IF(H130/G130&gt;100%,100%,H130/G130)</f>
        <v>1</v>
      </c>
      <c r="J130" s="81"/>
      <c r="K130" s="81"/>
      <c r="L130" s="91"/>
      <c r="M130" s="16" t="s">
        <v>202</v>
      </c>
    </row>
    <row r="131" spans="1:15" s="19" customFormat="1" ht="69.75" customHeight="1" x14ac:dyDescent="0.3">
      <c r="A131" s="76"/>
      <c r="B131" s="77"/>
      <c r="C131" s="79"/>
      <c r="D131" s="16" t="s">
        <v>48</v>
      </c>
      <c r="E131" s="68" t="s">
        <v>141</v>
      </c>
      <c r="F131" s="18" t="s">
        <v>41</v>
      </c>
      <c r="G131" s="26">
        <v>1</v>
      </c>
      <c r="H131" s="26">
        <f>21/21</f>
        <v>1</v>
      </c>
      <c r="I131" s="26">
        <f t="shared" si="6"/>
        <v>1</v>
      </c>
      <c r="J131" s="81"/>
      <c r="K131" s="81"/>
      <c r="L131" s="91"/>
      <c r="M131" s="16" t="s">
        <v>213</v>
      </c>
    </row>
    <row r="132" spans="1:15" s="19" customFormat="1" ht="55.5" customHeight="1" x14ac:dyDescent="0.3">
      <c r="A132" s="76"/>
      <c r="B132" s="77"/>
      <c r="C132" s="79"/>
      <c r="D132" s="16" t="s">
        <v>140</v>
      </c>
      <c r="E132" s="68" t="s">
        <v>49</v>
      </c>
      <c r="F132" s="18" t="s">
        <v>41</v>
      </c>
      <c r="G132" s="26">
        <v>0.98</v>
      </c>
      <c r="H132" s="26">
        <f>9.8/10</f>
        <v>0.98000000000000009</v>
      </c>
      <c r="I132" s="26">
        <f t="shared" si="6"/>
        <v>1.0000000000000002</v>
      </c>
      <c r="J132" s="88"/>
      <c r="K132" s="81"/>
      <c r="L132" s="91"/>
      <c r="M132" s="16" t="s">
        <v>155</v>
      </c>
    </row>
    <row r="133" spans="1:15" s="19" customFormat="1" ht="66.75" customHeight="1" x14ac:dyDescent="0.3">
      <c r="A133" s="76"/>
      <c r="B133" s="77"/>
      <c r="C133" s="79"/>
      <c r="D133" s="16" t="s">
        <v>39</v>
      </c>
      <c r="E133" s="68" t="s">
        <v>142</v>
      </c>
      <c r="F133" s="18" t="s">
        <v>50</v>
      </c>
      <c r="G133" s="72">
        <f>200+2192</f>
        <v>2392</v>
      </c>
      <c r="H133" s="72">
        <f>200+2192</f>
        <v>2392</v>
      </c>
      <c r="I133" s="26">
        <f t="shared" si="6"/>
        <v>1</v>
      </c>
      <c r="J133" s="26">
        <f>I133</f>
        <v>1</v>
      </c>
      <c r="K133" s="88"/>
      <c r="L133" s="91"/>
      <c r="M133" s="16"/>
    </row>
    <row r="134" spans="1:15" s="19" customFormat="1" ht="106.5" customHeight="1" x14ac:dyDescent="0.3">
      <c r="A134" s="77"/>
      <c r="B134" s="79" t="s">
        <v>122</v>
      </c>
      <c r="C134" s="79" t="s">
        <v>119</v>
      </c>
      <c r="D134" s="16" t="s">
        <v>44</v>
      </c>
      <c r="E134" s="71" t="s">
        <v>137</v>
      </c>
      <c r="F134" s="18" t="s">
        <v>41</v>
      </c>
      <c r="G134" s="25">
        <v>1</v>
      </c>
      <c r="H134" s="25">
        <f>H138/H138</f>
        <v>1</v>
      </c>
      <c r="I134" s="26">
        <f t="shared" si="6"/>
        <v>1</v>
      </c>
      <c r="J134" s="80">
        <f>(I134+I135)/2</f>
        <v>1</v>
      </c>
      <c r="K134" s="80">
        <f>(J134+J138)/2</f>
        <v>1</v>
      </c>
      <c r="L134" s="84" t="str">
        <f>IF(K134&lt;90%,"не выполнено",IF(K134&lt;100%,"в целом выполнено","выполнено"))</f>
        <v>выполнено</v>
      </c>
      <c r="M134" s="16" t="s">
        <v>182</v>
      </c>
      <c r="O134" s="22"/>
    </row>
    <row r="135" spans="1:15" s="19" customFormat="1" ht="66.75" customHeight="1" x14ac:dyDescent="0.3">
      <c r="A135" s="77"/>
      <c r="B135" s="79"/>
      <c r="C135" s="79"/>
      <c r="D135" s="16" t="s">
        <v>45</v>
      </c>
      <c r="E135" s="68" t="s">
        <v>43</v>
      </c>
      <c r="F135" s="18" t="s">
        <v>41</v>
      </c>
      <c r="G135" s="26">
        <v>0.9</v>
      </c>
      <c r="H135" s="26">
        <f>85/85</f>
        <v>1</v>
      </c>
      <c r="I135" s="26">
        <f>IF(H135&lt;90%,89.9%,100%)</f>
        <v>1</v>
      </c>
      <c r="J135" s="81"/>
      <c r="K135" s="82"/>
      <c r="L135" s="85"/>
      <c r="M135" s="16" t="s">
        <v>148</v>
      </c>
    </row>
    <row r="136" spans="1:15" s="19" customFormat="1" ht="90" customHeight="1" x14ac:dyDescent="0.3">
      <c r="A136" s="77"/>
      <c r="B136" s="79"/>
      <c r="C136" s="79"/>
      <c r="D136" s="16" t="s">
        <v>46</v>
      </c>
      <c r="E136" s="68" t="s">
        <v>139</v>
      </c>
      <c r="F136" s="18" t="s">
        <v>41</v>
      </c>
      <c r="G136" s="26">
        <v>0.9</v>
      </c>
      <c r="H136" s="26">
        <f>387/387</f>
        <v>1</v>
      </c>
      <c r="I136" s="26">
        <f>IF(H136/G136&gt;100%,100%,H136/G136)</f>
        <v>1</v>
      </c>
      <c r="J136" s="81"/>
      <c r="K136" s="82"/>
      <c r="L136" s="85"/>
      <c r="M136" s="60" t="s">
        <v>203</v>
      </c>
    </row>
    <row r="137" spans="1:15" s="19" customFormat="1" ht="66.75" customHeight="1" x14ac:dyDescent="0.3">
      <c r="A137" s="77"/>
      <c r="B137" s="79"/>
      <c r="C137" s="79"/>
      <c r="D137" s="16" t="s">
        <v>47</v>
      </c>
      <c r="E137" s="68" t="s">
        <v>141</v>
      </c>
      <c r="F137" s="18" t="s">
        <v>41</v>
      </c>
      <c r="G137" s="26">
        <v>1</v>
      </c>
      <c r="H137" s="26">
        <f>20/20</f>
        <v>1</v>
      </c>
      <c r="I137" s="26">
        <f t="shared" si="6"/>
        <v>1</v>
      </c>
      <c r="J137" s="81"/>
      <c r="K137" s="82"/>
      <c r="L137" s="85"/>
      <c r="M137" s="16" t="s">
        <v>212</v>
      </c>
    </row>
    <row r="138" spans="1:15" s="19" customFormat="1" ht="66" customHeight="1" x14ac:dyDescent="0.3">
      <c r="A138" s="78"/>
      <c r="B138" s="79"/>
      <c r="C138" s="79"/>
      <c r="D138" s="16" t="s">
        <v>39</v>
      </c>
      <c r="E138" s="68" t="s">
        <v>142</v>
      </c>
      <c r="F138" s="18" t="s">
        <v>50</v>
      </c>
      <c r="G138" s="72">
        <f>640+328</f>
        <v>968</v>
      </c>
      <c r="H138" s="72">
        <f>718+330</f>
        <v>1048</v>
      </c>
      <c r="I138" s="26">
        <f t="shared" si="6"/>
        <v>1</v>
      </c>
      <c r="J138" s="26">
        <f>I138</f>
        <v>1</v>
      </c>
      <c r="K138" s="83"/>
      <c r="L138" s="86"/>
      <c r="M138" s="16" t="s">
        <v>51</v>
      </c>
    </row>
    <row r="139" spans="1:15" s="19" customFormat="1" ht="106.5" customHeight="1" x14ac:dyDescent="0.3">
      <c r="A139" s="75" t="s">
        <v>25</v>
      </c>
      <c r="B139" s="87" t="s">
        <v>121</v>
      </c>
      <c r="C139" s="79" t="s">
        <v>119</v>
      </c>
      <c r="D139" s="16" t="s">
        <v>44</v>
      </c>
      <c r="E139" s="68" t="s">
        <v>137</v>
      </c>
      <c r="F139" s="18" t="s">
        <v>41</v>
      </c>
      <c r="G139" s="25">
        <v>1</v>
      </c>
      <c r="H139" s="25">
        <f>H145/(H145)</f>
        <v>1</v>
      </c>
      <c r="I139" s="26">
        <f>IF(H139/G139&gt;100%,100%,H139/G139)</f>
        <v>1</v>
      </c>
      <c r="J139" s="80">
        <f>(I139+I140+I141)/3</f>
        <v>1</v>
      </c>
      <c r="K139" s="80">
        <f>(J139+J145)/2</f>
        <v>1</v>
      </c>
      <c r="L139" s="91" t="str">
        <f>IF(K139&lt;90%,"не выполнено",IF(K139&lt;100%,"в целом выполнено","выполнено"))</f>
        <v>выполнено</v>
      </c>
      <c r="M139" s="16" t="s">
        <v>183</v>
      </c>
    </row>
    <row r="140" spans="1:15" s="19" customFormat="1" ht="78.75" customHeight="1" x14ac:dyDescent="0.3">
      <c r="A140" s="76"/>
      <c r="B140" s="77"/>
      <c r="C140" s="79"/>
      <c r="D140" s="16" t="s">
        <v>45</v>
      </c>
      <c r="E140" s="68" t="s">
        <v>138</v>
      </c>
      <c r="F140" s="18" t="s">
        <v>42</v>
      </c>
      <c r="G140" s="69">
        <v>0</v>
      </c>
      <c r="H140" s="69">
        <v>0</v>
      </c>
      <c r="I140" s="25">
        <f>IF(H140=0,100%,IF(H140=1,98%,IF(H140=2,96%,IF(H140=3,94%,IF(H140=4,92%,IF(H140=5,90%,89.9%))))))</f>
        <v>1</v>
      </c>
      <c r="J140" s="81"/>
      <c r="K140" s="81"/>
      <c r="L140" s="91"/>
      <c r="M140" s="16" t="s">
        <v>52</v>
      </c>
    </row>
    <row r="141" spans="1:15" s="19" customFormat="1" ht="65.25" customHeight="1" x14ac:dyDescent="0.3">
      <c r="A141" s="76"/>
      <c r="B141" s="77"/>
      <c r="C141" s="79"/>
      <c r="D141" s="16" t="s">
        <v>46</v>
      </c>
      <c r="E141" s="68" t="s">
        <v>43</v>
      </c>
      <c r="F141" s="18" t="s">
        <v>41</v>
      </c>
      <c r="G141" s="26">
        <v>0.9</v>
      </c>
      <c r="H141" s="26">
        <f>28/28</f>
        <v>1</v>
      </c>
      <c r="I141" s="26">
        <f>IF(H141&lt;90%,89.9%,100%)</f>
        <v>1</v>
      </c>
      <c r="J141" s="81"/>
      <c r="K141" s="81"/>
      <c r="L141" s="91"/>
      <c r="M141" s="16" t="s">
        <v>188</v>
      </c>
    </row>
    <row r="142" spans="1:15" s="19" customFormat="1" ht="90.75" customHeight="1" x14ac:dyDescent="0.3">
      <c r="A142" s="76"/>
      <c r="B142" s="77"/>
      <c r="C142" s="79"/>
      <c r="D142" s="16" t="s">
        <v>47</v>
      </c>
      <c r="E142" s="68" t="s">
        <v>139</v>
      </c>
      <c r="F142" s="18" t="s">
        <v>41</v>
      </c>
      <c r="G142" s="26">
        <v>0.9</v>
      </c>
      <c r="H142" s="26">
        <f>173/173</f>
        <v>1</v>
      </c>
      <c r="I142" s="26">
        <f t="shared" ref="I142:I151" si="7">IF(H142/G142&gt;100%,100%,H142/G142)</f>
        <v>1</v>
      </c>
      <c r="J142" s="81"/>
      <c r="K142" s="81"/>
      <c r="L142" s="91"/>
      <c r="M142" s="16" t="s">
        <v>204</v>
      </c>
    </row>
    <row r="143" spans="1:15" s="19" customFormat="1" ht="69.75" customHeight="1" x14ac:dyDescent="0.3">
      <c r="A143" s="76"/>
      <c r="B143" s="77"/>
      <c r="C143" s="79"/>
      <c r="D143" s="16" t="s">
        <v>48</v>
      </c>
      <c r="E143" s="68" t="s">
        <v>141</v>
      </c>
      <c r="F143" s="18" t="s">
        <v>41</v>
      </c>
      <c r="G143" s="26">
        <v>1</v>
      </c>
      <c r="H143" s="26">
        <f>14/14</f>
        <v>1</v>
      </c>
      <c r="I143" s="26">
        <f t="shared" si="7"/>
        <v>1</v>
      </c>
      <c r="J143" s="81"/>
      <c r="K143" s="81"/>
      <c r="L143" s="91"/>
      <c r="M143" s="16" t="s">
        <v>211</v>
      </c>
    </row>
    <row r="144" spans="1:15" s="19" customFormat="1" ht="55.5" customHeight="1" x14ac:dyDescent="0.3">
      <c r="A144" s="76"/>
      <c r="B144" s="77"/>
      <c r="C144" s="79"/>
      <c r="D144" s="16" t="s">
        <v>140</v>
      </c>
      <c r="E144" s="68" t="s">
        <v>49</v>
      </c>
      <c r="F144" s="18" t="s">
        <v>41</v>
      </c>
      <c r="G144" s="26">
        <v>0.4</v>
      </c>
      <c r="H144" s="26">
        <f>8/10</f>
        <v>0.8</v>
      </c>
      <c r="I144" s="26">
        <f t="shared" si="7"/>
        <v>1</v>
      </c>
      <c r="J144" s="88"/>
      <c r="K144" s="81"/>
      <c r="L144" s="91"/>
      <c r="M144" s="16" t="s">
        <v>153</v>
      </c>
    </row>
    <row r="145" spans="1:15" s="19" customFormat="1" ht="66.75" customHeight="1" x14ac:dyDescent="0.3">
      <c r="A145" s="76"/>
      <c r="B145" s="77"/>
      <c r="C145" s="79"/>
      <c r="D145" s="16" t="s">
        <v>39</v>
      </c>
      <c r="E145" s="68" t="s">
        <v>142</v>
      </c>
      <c r="F145" s="18" t="s">
        <v>50</v>
      </c>
      <c r="G145" s="72">
        <f>175+1392</f>
        <v>1567</v>
      </c>
      <c r="H145" s="72">
        <f>186+1389</f>
        <v>1575</v>
      </c>
      <c r="I145" s="26">
        <f t="shared" si="7"/>
        <v>1</v>
      </c>
      <c r="J145" s="26">
        <f>I145</f>
        <v>1</v>
      </c>
      <c r="K145" s="88"/>
      <c r="L145" s="91"/>
      <c r="M145" s="16" t="s">
        <v>51</v>
      </c>
    </row>
    <row r="146" spans="1:15" s="19" customFormat="1" ht="106.5" customHeight="1" x14ac:dyDescent="0.3">
      <c r="A146" s="77"/>
      <c r="B146" s="79" t="s">
        <v>122</v>
      </c>
      <c r="C146" s="79" t="s">
        <v>119</v>
      </c>
      <c r="D146" s="16" t="s">
        <v>44</v>
      </c>
      <c r="E146" s="71" t="s">
        <v>137</v>
      </c>
      <c r="F146" s="18" t="s">
        <v>41</v>
      </c>
      <c r="G146" s="25">
        <v>1</v>
      </c>
      <c r="H146" s="25">
        <f>H150/H150</f>
        <v>1</v>
      </c>
      <c r="I146" s="26">
        <f t="shared" si="7"/>
        <v>1</v>
      </c>
      <c r="J146" s="80">
        <f>(I146+I147)/2</f>
        <v>1</v>
      </c>
      <c r="K146" s="80">
        <f>(J146+J150)/2</f>
        <v>1</v>
      </c>
      <c r="L146" s="84" t="str">
        <f>IF(K146&lt;90%,"не выполнено",IF(K146&lt;100%,"в целом выполнено","выполнено"))</f>
        <v>выполнено</v>
      </c>
      <c r="M146" s="16" t="s">
        <v>184</v>
      </c>
      <c r="O146" s="22"/>
    </row>
    <row r="147" spans="1:15" s="19" customFormat="1" ht="66.75" customHeight="1" x14ac:dyDescent="0.3">
      <c r="A147" s="77"/>
      <c r="B147" s="79"/>
      <c r="C147" s="79"/>
      <c r="D147" s="16" t="s">
        <v>45</v>
      </c>
      <c r="E147" s="68" t="s">
        <v>43</v>
      </c>
      <c r="F147" s="18" t="s">
        <v>41</v>
      </c>
      <c r="G147" s="26">
        <v>0.9</v>
      </c>
      <c r="H147" s="26">
        <f>80/80</f>
        <v>1</v>
      </c>
      <c r="I147" s="26">
        <f>IF(H147&lt;90%,89.9%,100%)</f>
        <v>1</v>
      </c>
      <c r="J147" s="81"/>
      <c r="K147" s="82"/>
      <c r="L147" s="85"/>
      <c r="M147" s="16" t="s">
        <v>126</v>
      </c>
    </row>
    <row r="148" spans="1:15" s="19" customFormat="1" ht="90" customHeight="1" x14ac:dyDescent="0.3">
      <c r="A148" s="77"/>
      <c r="B148" s="79"/>
      <c r="C148" s="79"/>
      <c r="D148" s="16" t="s">
        <v>46</v>
      </c>
      <c r="E148" s="68" t="s">
        <v>139</v>
      </c>
      <c r="F148" s="18" t="s">
        <v>41</v>
      </c>
      <c r="G148" s="26">
        <v>0.9</v>
      </c>
      <c r="H148" s="26">
        <f>515/515</f>
        <v>1</v>
      </c>
      <c r="I148" s="26">
        <f>IF(H148/G148&gt;100%,100%,H148/G148)</f>
        <v>1</v>
      </c>
      <c r="J148" s="81"/>
      <c r="K148" s="82"/>
      <c r="L148" s="85"/>
      <c r="M148" s="60" t="s">
        <v>205</v>
      </c>
    </row>
    <row r="149" spans="1:15" s="19" customFormat="1" ht="66.75" customHeight="1" x14ac:dyDescent="0.3">
      <c r="A149" s="77"/>
      <c r="B149" s="79"/>
      <c r="C149" s="79"/>
      <c r="D149" s="16" t="s">
        <v>47</v>
      </c>
      <c r="E149" s="68" t="s">
        <v>141</v>
      </c>
      <c r="F149" s="18" t="s">
        <v>41</v>
      </c>
      <c r="G149" s="26">
        <v>1</v>
      </c>
      <c r="H149" s="26">
        <f>12/12</f>
        <v>1</v>
      </c>
      <c r="I149" s="26">
        <f t="shared" si="7"/>
        <v>1</v>
      </c>
      <c r="J149" s="81"/>
      <c r="K149" s="82"/>
      <c r="L149" s="85"/>
      <c r="M149" s="16" t="s">
        <v>210</v>
      </c>
    </row>
    <row r="150" spans="1:15" s="19" customFormat="1" ht="66" customHeight="1" x14ac:dyDescent="0.3">
      <c r="A150" s="78"/>
      <c r="B150" s="79"/>
      <c r="C150" s="79"/>
      <c r="D150" s="16" t="s">
        <v>39</v>
      </c>
      <c r="E150" s="68" t="s">
        <v>142</v>
      </c>
      <c r="F150" s="18" t="s">
        <v>50</v>
      </c>
      <c r="G150" s="72">
        <f>695+263</f>
        <v>958</v>
      </c>
      <c r="H150" s="72">
        <f>867+341</f>
        <v>1208</v>
      </c>
      <c r="I150" s="26">
        <f t="shared" si="7"/>
        <v>1</v>
      </c>
      <c r="J150" s="26">
        <f>I150</f>
        <v>1</v>
      </c>
      <c r="K150" s="83"/>
      <c r="L150" s="86"/>
      <c r="M150" s="16" t="s">
        <v>51</v>
      </c>
    </row>
    <row r="151" spans="1:15" s="19" customFormat="1" ht="106.5" customHeight="1" x14ac:dyDescent="0.3">
      <c r="A151" s="75" t="s">
        <v>24</v>
      </c>
      <c r="B151" s="87" t="s">
        <v>121</v>
      </c>
      <c r="C151" s="79" t="s">
        <v>119</v>
      </c>
      <c r="D151" s="16" t="s">
        <v>44</v>
      </c>
      <c r="E151" s="68" t="s">
        <v>137</v>
      </c>
      <c r="F151" s="18" t="s">
        <v>41</v>
      </c>
      <c r="G151" s="25">
        <v>1</v>
      </c>
      <c r="H151" s="25">
        <f>H157/(H157)</f>
        <v>1</v>
      </c>
      <c r="I151" s="26">
        <f t="shared" si="7"/>
        <v>1</v>
      </c>
      <c r="J151" s="80">
        <f>(I151+I152+I153)/3</f>
        <v>1</v>
      </c>
      <c r="K151" s="80">
        <f>(J151+J157)/2</f>
        <v>1</v>
      </c>
      <c r="L151" s="91" t="str">
        <f>IF(K151&lt;90%,"не выполнено",IF(K151&lt;100%,"в целом выполнено","выполнено"))</f>
        <v>выполнено</v>
      </c>
      <c r="M151" s="16" t="s">
        <v>185</v>
      </c>
    </row>
    <row r="152" spans="1:15" s="19" customFormat="1" ht="78.75" customHeight="1" x14ac:dyDescent="0.3">
      <c r="A152" s="76"/>
      <c r="B152" s="77"/>
      <c r="C152" s="79"/>
      <c r="D152" s="16" t="s">
        <v>45</v>
      </c>
      <c r="E152" s="68" t="s">
        <v>138</v>
      </c>
      <c r="F152" s="18" t="s">
        <v>42</v>
      </c>
      <c r="G152" s="69">
        <v>0</v>
      </c>
      <c r="H152" s="69">
        <f>1-1</f>
        <v>0</v>
      </c>
      <c r="I152" s="25">
        <f>IF(H152=0,100%,IF(H152=1,98%,IF(H152=2,96%,IF(H152=3,94%,IF(H152=4,92%,IF(H152=5,90%,89.9%))))))</f>
        <v>1</v>
      </c>
      <c r="J152" s="81"/>
      <c r="K152" s="81"/>
      <c r="L152" s="91"/>
      <c r="M152" s="16" t="s">
        <v>254</v>
      </c>
    </row>
    <row r="153" spans="1:15" s="19" customFormat="1" ht="65.25" customHeight="1" x14ac:dyDescent="0.3">
      <c r="A153" s="76"/>
      <c r="B153" s="77"/>
      <c r="C153" s="79"/>
      <c r="D153" s="16" t="s">
        <v>46</v>
      </c>
      <c r="E153" s="68" t="s">
        <v>43</v>
      </c>
      <c r="F153" s="18" t="s">
        <v>41</v>
      </c>
      <c r="G153" s="26">
        <v>0.9</v>
      </c>
      <c r="H153" s="26">
        <f>37.5/39.5</f>
        <v>0.94936708860759489</v>
      </c>
      <c r="I153" s="26">
        <f>IF(H153&lt;90%,89.9%,100%)</f>
        <v>1</v>
      </c>
      <c r="J153" s="81"/>
      <c r="K153" s="81"/>
      <c r="L153" s="91"/>
      <c r="M153" s="16" t="s">
        <v>187</v>
      </c>
    </row>
    <row r="154" spans="1:15" s="19" customFormat="1" ht="90.75" customHeight="1" x14ac:dyDescent="0.3">
      <c r="A154" s="76"/>
      <c r="B154" s="77"/>
      <c r="C154" s="79"/>
      <c r="D154" s="16" t="s">
        <v>47</v>
      </c>
      <c r="E154" s="68" t="s">
        <v>139</v>
      </c>
      <c r="F154" s="18" t="s">
        <v>41</v>
      </c>
      <c r="G154" s="26">
        <v>0.9</v>
      </c>
      <c r="H154" s="26">
        <f>105/107</f>
        <v>0.98130841121495327</v>
      </c>
      <c r="I154" s="26">
        <f t="shared" ref="I154:I162" si="8">IF(H154/G154&gt;100%,100%,H154/G154)</f>
        <v>1</v>
      </c>
      <c r="J154" s="81"/>
      <c r="K154" s="81"/>
      <c r="L154" s="91"/>
      <c r="M154" s="16" t="s">
        <v>206</v>
      </c>
    </row>
    <row r="155" spans="1:15" s="19" customFormat="1" ht="69.75" customHeight="1" x14ac:dyDescent="0.3">
      <c r="A155" s="76"/>
      <c r="B155" s="77"/>
      <c r="C155" s="79"/>
      <c r="D155" s="16" t="s">
        <v>48</v>
      </c>
      <c r="E155" s="68" t="s">
        <v>141</v>
      </c>
      <c r="F155" s="18" t="s">
        <v>41</v>
      </c>
      <c r="G155" s="26">
        <v>1</v>
      </c>
      <c r="H155" s="26">
        <f>9/9</f>
        <v>1</v>
      </c>
      <c r="I155" s="26">
        <f t="shared" si="8"/>
        <v>1</v>
      </c>
      <c r="J155" s="81"/>
      <c r="K155" s="81"/>
      <c r="L155" s="91"/>
      <c r="M155" s="16" t="s">
        <v>209</v>
      </c>
    </row>
    <row r="156" spans="1:15" s="19" customFormat="1" ht="55.5" customHeight="1" x14ac:dyDescent="0.3">
      <c r="A156" s="76"/>
      <c r="B156" s="77"/>
      <c r="C156" s="79"/>
      <c r="D156" s="16" t="s">
        <v>140</v>
      </c>
      <c r="E156" s="68" t="s">
        <v>49</v>
      </c>
      <c r="F156" s="18" t="s">
        <v>41</v>
      </c>
      <c r="G156" s="26">
        <v>0.94</v>
      </c>
      <c r="H156" s="26">
        <f>9.4/10</f>
        <v>0.94000000000000006</v>
      </c>
      <c r="I156" s="26">
        <f t="shared" si="8"/>
        <v>1.0000000000000002</v>
      </c>
      <c r="J156" s="88"/>
      <c r="K156" s="81"/>
      <c r="L156" s="91"/>
      <c r="M156" s="16" t="s">
        <v>156</v>
      </c>
    </row>
    <row r="157" spans="1:15" s="19" customFormat="1" ht="66.75" customHeight="1" x14ac:dyDescent="0.3">
      <c r="A157" s="76"/>
      <c r="B157" s="77"/>
      <c r="C157" s="79"/>
      <c r="D157" s="16" t="s">
        <v>39</v>
      </c>
      <c r="E157" s="68" t="s">
        <v>142</v>
      </c>
      <c r="F157" s="18" t="s">
        <v>50</v>
      </c>
      <c r="G157" s="72">
        <f>90+2042</f>
        <v>2132</v>
      </c>
      <c r="H157" s="72">
        <f>94+2166</f>
        <v>2260</v>
      </c>
      <c r="I157" s="26">
        <f t="shared" si="8"/>
        <v>1</v>
      </c>
      <c r="J157" s="26">
        <f>I157</f>
        <v>1</v>
      </c>
      <c r="K157" s="88"/>
      <c r="L157" s="91"/>
      <c r="M157" s="16" t="s">
        <v>51</v>
      </c>
    </row>
    <row r="158" spans="1:15" s="19" customFormat="1" ht="106.5" customHeight="1" x14ac:dyDescent="0.3">
      <c r="A158" s="77"/>
      <c r="B158" s="79" t="s">
        <v>122</v>
      </c>
      <c r="C158" s="79" t="s">
        <v>119</v>
      </c>
      <c r="D158" s="16" t="s">
        <v>44</v>
      </c>
      <c r="E158" s="71" t="s">
        <v>137</v>
      </c>
      <c r="F158" s="18" t="s">
        <v>41</v>
      </c>
      <c r="G158" s="25">
        <v>1</v>
      </c>
      <c r="H158" s="25">
        <f>H162/H162</f>
        <v>1</v>
      </c>
      <c r="I158" s="26">
        <f t="shared" si="8"/>
        <v>1</v>
      </c>
      <c r="J158" s="80">
        <f>(I158+I159)/2</f>
        <v>1</v>
      </c>
      <c r="K158" s="80">
        <f>(J158+J162)/2</f>
        <v>1</v>
      </c>
      <c r="L158" s="84" t="str">
        <f>IF(K158&lt;90%,"не выполнено",IF(K158&lt;100%,"в целом выполнено","выполнено"))</f>
        <v>выполнено</v>
      </c>
      <c r="M158" s="16" t="s">
        <v>186</v>
      </c>
      <c r="O158" s="22"/>
    </row>
    <row r="159" spans="1:15" s="19" customFormat="1" ht="66.75" customHeight="1" x14ac:dyDescent="0.3">
      <c r="A159" s="77"/>
      <c r="B159" s="79"/>
      <c r="C159" s="79"/>
      <c r="D159" s="16" t="s">
        <v>45</v>
      </c>
      <c r="E159" s="68" t="s">
        <v>43</v>
      </c>
      <c r="F159" s="18" t="s">
        <v>41</v>
      </c>
      <c r="G159" s="26">
        <v>0.9</v>
      </c>
      <c r="H159" s="26">
        <f>71/71</f>
        <v>1</v>
      </c>
      <c r="I159" s="26">
        <f>IF(H159&lt;90%,89.9%,100%)</f>
        <v>1</v>
      </c>
      <c r="J159" s="81"/>
      <c r="K159" s="82"/>
      <c r="L159" s="85"/>
      <c r="M159" s="16" t="s">
        <v>149</v>
      </c>
    </row>
    <row r="160" spans="1:15" s="19" customFormat="1" ht="90" customHeight="1" x14ac:dyDescent="0.3">
      <c r="A160" s="77"/>
      <c r="B160" s="79"/>
      <c r="C160" s="79"/>
      <c r="D160" s="16" t="s">
        <v>46</v>
      </c>
      <c r="E160" s="68" t="s">
        <v>139</v>
      </c>
      <c r="F160" s="18" t="s">
        <v>41</v>
      </c>
      <c r="G160" s="26">
        <v>0.9</v>
      </c>
      <c r="H160" s="26">
        <f>45/45</f>
        <v>1</v>
      </c>
      <c r="I160" s="26">
        <f>IF(H160/G160&gt;100%,100%,H160/G160)</f>
        <v>1</v>
      </c>
      <c r="J160" s="81"/>
      <c r="K160" s="82"/>
      <c r="L160" s="85"/>
      <c r="M160" s="60" t="s">
        <v>207</v>
      </c>
    </row>
    <row r="161" spans="1:13" s="19" customFormat="1" ht="66.75" customHeight="1" x14ac:dyDescent="0.3">
      <c r="A161" s="77"/>
      <c r="B161" s="79"/>
      <c r="C161" s="79"/>
      <c r="D161" s="16" t="s">
        <v>47</v>
      </c>
      <c r="E161" s="68" t="s">
        <v>141</v>
      </c>
      <c r="F161" s="18" t="s">
        <v>41</v>
      </c>
      <c r="G161" s="26">
        <v>1</v>
      </c>
      <c r="H161" s="26">
        <f>6/6</f>
        <v>1</v>
      </c>
      <c r="I161" s="26">
        <f t="shared" si="8"/>
        <v>1</v>
      </c>
      <c r="J161" s="81"/>
      <c r="K161" s="82"/>
      <c r="L161" s="85"/>
      <c r="M161" s="16" t="s">
        <v>208</v>
      </c>
    </row>
    <row r="162" spans="1:13" s="19" customFormat="1" ht="66" customHeight="1" x14ac:dyDescent="0.3">
      <c r="A162" s="78"/>
      <c r="B162" s="79"/>
      <c r="C162" s="79"/>
      <c r="D162" s="16" t="s">
        <v>39</v>
      </c>
      <c r="E162" s="68" t="s">
        <v>142</v>
      </c>
      <c r="F162" s="18" t="s">
        <v>50</v>
      </c>
      <c r="G162" s="72">
        <f>465+283</f>
        <v>748</v>
      </c>
      <c r="H162" s="72">
        <f>592+284</f>
        <v>876</v>
      </c>
      <c r="I162" s="26">
        <f t="shared" si="8"/>
        <v>1</v>
      </c>
      <c r="J162" s="26">
        <f>I162</f>
        <v>1</v>
      </c>
      <c r="K162" s="83"/>
      <c r="L162" s="86"/>
      <c r="M162" s="16" t="s">
        <v>51</v>
      </c>
    </row>
    <row r="163" spans="1:13" s="21" customFormat="1" ht="10.199999999999999" x14ac:dyDescent="0.3">
      <c r="A163" s="62"/>
      <c r="B163" s="62"/>
      <c r="C163" s="62"/>
      <c r="D163" s="62"/>
      <c r="E163" s="62"/>
      <c r="F163" s="63"/>
      <c r="G163" s="62"/>
      <c r="H163" s="62"/>
      <c r="I163" s="64"/>
      <c r="J163" s="64"/>
      <c r="K163" s="65"/>
      <c r="L163" s="62"/>
      <c r="M163" s="62"/>
    </row>
    <row r="164" spans="1:13" s="17" customFormat="1" ht="15.6" x14ac:dyDescent="0.3">
      <c r="A164" s="17" t="s">
        <v>133</v>
      </c>
    </row>
    <row r="165" spans="1:13" s="17" customFormat="1" ht="15.6" x14ac:dyDescent="0.3">
      <c r="A165" s="17" t="s">
        <v>136</v>
      </c>
    </row>
    <row r="166" spans="1:13" s="23" customFormat="1" ht="12" x14ac:dyDescent="0.3"/>
    <row r="167" spans="1:13" s="23" customFormat="1" ht="12" x14ac:dyDescent="0.3"/>
    <row r="168" spans="1:13" s="23" customFormat="1" ht="12" x14ac:dyDescent="0.3"/>
    <row r="169" spans="1:13" s="30" customFormat="1" ht="18" x14ac:dyDescent="0.3">
      <c r="A169" s="30" t="s">
        <v>143</v>
      </c>
      <c r="M169" s="31" t="s">
        <v>144</v>
      </c>
    </row>
    <row r="170" spans="1:13" s="17" customFormat="1" ht="13.2" x14ac:dyDescent="0.3"/>
    <row r="171" spans="1:13" s="17" customFormat="1" ht="13.2" x14ac:dyDescent="0.3"/>
    <row r="172" spans="1:13" s="17" customFormat="1" ht="13.2" x14ac:dyDescent="0.3"/>
    <row r="173" spans="1:13" s="17" customFormat="1" ht="13.2" x14ac:dyDescent="0.3"/>
    <row r="174" spans="1:13" s="23" customFormat="1" ht="12" x14ac:dyDescent="0.3">
      <c r="A174" s="23" t="s">
        <v>1</v>
      </c>
    </row>
    <row r="175" spans="1:13" s="23" customFormat="1" ht="12" x14ac:dyDescent="0.3">
      <c r="G175" s="57" t="s">
        <v>158</v>
      </c>
      <c r="H175" s="57" t="s">
        <v>159</v>
      </c>
      <c r="I175" s="61" t="s">
        <v>130</v>
      </c>
    </row>
    <row r="176" spans="1:13" s="17" customFormat="1" ht="13.2" x14ac:dyDescent="0.3">
      <c r="E176" s="17" t="s">
        <v>56</v>
      </c>
      <c r="G176" s="67">
        <f>G12+G19+G26+G33+G40+G47+G61+G54+G66+G73+G78+G85+G90+G97+G102+G109+G114+G121+G126+G133+G138+G145+G150+G157+G162</f>
        <v>30020</v>
      </c>
      <c r="H176" s="67">
        <f>H12+H19+H26+H33+H40+H47+H61+H54+H66+H73+H78+H85+H90+H97+H102+H109+H114+H121+H126+H133+H138+H145+H150+H157+H162</f>
        <v>32158</v>
      </c>
      <c r="I176" s="67">
        <f>SUM(I178:I180)</f>
        <v>30012</v>
      </c>
    </row>
    <row r="177" spans="5:9" s="17" customFormat="1" ht="13.2" x14ac:dyDescent="0.3">
      <c r="E177" s="17" t="s">
        <v>57</v>
      </c>
      <c r="G177" s="67"/>
      <c r="H177" s="67"/>
      <c r="I177" s="67"/>
    </row>
    <row r="178" spans="5:9" s="17" customFormat="1" ht="13.2" x14ac:dyDescent="0.3">
      <c r="E178" s="17" t="s">
        <v>58</v>
      </c>
      <c r="G178" s="67">
        <f>G12+G26</f>
        <v>545</v>
      </c>
      <c r="H178" s="67">
        <f>H12+H26</f>
        <v>571</v>
      </c>
      <c r="I178" s="67">
        <v>542</v>
      </c>
    </row>
    <row r="179" spans="5:9" s="17" customFormat="1" ht="13.2" x14ac:dyDescent="0.3">
      <c r="E179" s="17" t="s">
        <v>59</v>
      </c>
      <c r="G179" s="67">
        <f>G19+G33+G40+G47+G54+G61+G73+G85+G97+G109+G121+G133+G145+G157</f>
        <v>23073</v>
      </c>
      <c r="H179" s="67">
        <f>H19+H33+H40+H47+H54+H61+H73+H85+H97+H109+H121+H133+H145+H157</f>
        <v>24203</v>
      </c>
      <c r="I179" s="67">
        <v>23179</v>
      </c>
    </row>
    <row r="180" spans="5:9" s="17" customFormat="1" ht="13.2" x14ac:dyDescent="0.3">
      <c r="E180" s="17" t="s">
        <v>60</v>
      </c>
      <c r="G180" s="67">
        <f>G66+G78+G90+G102+G114+G126+G138+G150+G162</f>
        <v>6402</v>
      </c>
      <c r="H180" s="67">
        <f>H66+H78+H90+H102+H114+H126+H138+H150+H162</f>
        <v>7384</v>
      </c>
      <c r="I180" s="67">
        <v>6291</v>
      </c>
    </row>
    <row r="181" spans="5:9" s="17" customFormat="1" ht="13.2" x14ac:dyDescent="0.3"/>
    <row r="182" spans="5:9" s="17" customFormat="1" ht="13.2" x14ac:dyDescent="0.3"/>
    <row r="183" spans="5:9" s="17" customFormat="1" ht="13.2" x14ac:dyDescent="0.3"/>
    <row r="184" spans="5:9" s="17" customFormat="1" ht="13.2" x14ac:dyDescent="0.3"/>
  </sheetData>
  <mergeCells count="140">
    <mergeCell ref="L27:L33"/>
    <mergeCell ref="K13:K19"/>
    <mergeCell ref="K6:K12"/>
    <mergeCell ref="C13:C19"/>
    <mergeCell ref="C34:C40"/>
    <mergeCell ref="J34:J39"/>
    <mergeCell ref="K34:K40"/>
    <mergeCell ref="L34:L40"/>
    <mergeCell ref="L6:L12"/>
    <mergeCell ref="C27:C33"/>
    <mergeCell ref="J6:J11"/>
    <mergeCell ref="J27:J32"/>
    <mergeCell ref="K27:K33"/>
    <mergeCell ref="A34:A40"/>
    <mergeCell ref="A20:A33"/>
    <mergeCell ref="A41:A47"/>
    <mergeCell ref="B41:B47"/>
    <mergeCell ref="B27:B33"/>
    <mergeCell ref="B34:B40"/>
    <mergeCell ref="C41:C47"/>
    <mergeCell ref="L55:L61"/>
    <mergeCell ref="L20:L26"/>
    <mergeCell ref="A6:A19"/>
    <mergeCell ref="J13:J18"/>
    <mergeCell ref="B20:B26"/>
    <mergeCell ref="C20:C26"/>
    <mergeCell ref="J20:J25"/>
    <mergeCell ref="B6:B12"/>
    <mergeCell ref="B13:B19"/>
    <mergeCell ref="C6:C12"/>
    <mergeCell ref="L13:L19"/>
    <mergeCell ref="K20:K26"/>
    <mergeCell ref="B48:B54"/>
    <mergeCell ref="C48:C54"/>
    <mergeCell ref="J48:J53"/>
    <mergeCell ref="K48:K54"/>
    <mergeCell ref="L48:L54"/>
    <mergeCell ref="K41:K47"/>
    <mergeCell ref="L41:L47"/>
    <mergeCell ref="J41:J46"/>
    <mergeCell ref="A48:A54"/>
    <mergeCell ref="A79:A90"/>
    <mergeCell ref="B79:B85"/>
    <mergeCell ref="C79:C85"/>
    <mergeCell ref="J79:J84"/>
    <mergeCell ref="K79:K85"/>
    <mergeCell ref="B74:B78"/>
    <mergeCell ref="C74:C78"/>
    <mergeCell ref="J74:J77"/>
    <mergeCell ref="K74:K78"/>
    <mergeCell ref="L74:L78"/>
    <mergeCell ref="A67:A78"/>
    <mergeCell ref="B67:B73"/>
    <mergeCell ref="C67:C73"/>
    <mergeCell ref="J67:J72"/>
    <mergeCell ref="K67:K73"/>
    <mergeCell ref="L67:L73"/>
    <mergeCell ref="L79:L85"/>
    <mergeCell ref="B86:B90"/>
    <mergeCell ref="C86:C90"/>
    <mergeCell ref="J86:J89"/>
    <mergeCell ref="K86:K90"/>
    <mergeCell ref="L86:L90"/>
    <mergeCell ref="A91:A102"/>
    <mergeCell ref="B91:B97"/>
    <mergeCell ref="C91:C97"/>
    <mergeCell ref="J91:J96"/>
    <mergeCell ref="K91:K97"/>
    <mergeCell ref="L91:L97"/>
    <mergeCell ref="B98:B102"/>
    <mergeCell ref="C98:C102"/>
    <mergeCell ref="J98:J101"/>
    <mergeCell ref="K98:K102"/>
    <mergeCell ref="L98:L102"/>
    <mergeCell ref="A103:A114"/>
    <mergeCell ref="B103:B109"/>
    <mergeCell ref="C103:C109"/>
    <mergeCell ref="J103:J108"/>
    <mergeCell ref="K103:K109"/>
    <mergeCell ref="L103:L109"/>
    <mergeCell ref="B110:B114"/>
    <mergeCell ref="C110:C114"/>
    <mergeCell ref="J110:J113"/>
    <mergeCell ref="K110:K114"/>
    <mergeCell ref="L110:L114"/>
    <mergeCell ref="A115:A126"/>
    <mergeCell ref="B115:B121"/>
    <mergeCell ref="C115:C121"/>
    <mergeCell ref="J115:J120"/>
    <mergeCell ref="K115:K121"/>
    <mergeCell ref="L115:L121"/>
    <mergeCell ref="B122:B126"/>
    <mergeCell ref="C122:C126"/>
    <mergeCell ref="J122:J125"/>
    <mergeCell ref="K122:K126"/>
    <mergeCell ref="L122:L126"/>
    <mergeCell ref="A127:A138"/>
    <mergeCell ref="B127:B133"/>
    <mergeCell ref="C127:C133"/>
    <mergeCell ref="J127:J132"/>
    <mergeCell ref="K127:K133"/>
    <mergeCell ref="L127:L133"/>
    <mergeCell ref="B134:B138"/>
    <mergeCell ref="C134:C138"/>
    <mergeCell ref="J134:J137"/>
    <mergeCell ref="K134:K138"/>
    <mergeCell ref="L134:L138"/>
    <mergeCell ref="A139:A150"/>
    <mergeCell ref="B139:B145"/>
    <mergeCell ref="C139:C145"/>
    <mergeCell ref="J139:J144"/>
    <mergeCell ref="K139:K145"/>
    <mergeCell ref="L139:L145"/>
    <mergeCell ref="K146:K150"/>
    <mergeCell ref="L146:L150"/>
    <mergeCell ref="A151:A162"/>
    <mergeCell ref="B151:B157"/>
    <mergeCell ref="C151:C157"/>
    <mergeCell ref="J151:J156"/>
    <mergeCell ref="K151:K157"/>
    <mergeCell ref="A2:M2"/>
    <mergeCell ref="L151:L157"/>
    <mergeCell ref="B158:B162"/>
    <mergeCell ref="C158:C162"/>
    <mergeCell ref="J158:J161"/>
    <mergeCell ref="K158:K162"/>
    <mergeCell ref="L158:L162"/>
    <mergeCell ref="B146:B150"/>
    <mergeCell ref="C146:C150"/>
    <mergeCell ref="J146:J149"/>
    <mergeCell ref="A55:A66"/>
    <mergeCell ref="B62:B66"/>
    <mergeCell ref="C62:C66"/>
    <mergeCell ref="J62:J65"/>
    <mergeCell ref="K62:K66"/>
    <mergeCell ref="L62:L66"/>
    <mergeCell ref="B55:B61"/>
    <mergeCell ref="C55:C61"/>
    <mergeCell ref="J55:J60"/>
    <mergeCell ref="K55:K61"/>
  </mergeCells>
  <pageMargins left="0.19685039370078741" right="0.19685039370078741" top="0.39370078740157483" bottom="0.19685039370078741" header="0.19685039370078741" footer="0.19685039370078741"/>
  <pageSetup paperSize="9" scale="70" fitToHeight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ColWidth="9.109375" defaultRowHeight="14.4" x14ac:dyDescent="0.3"/>
  <cols>
    <col min="1" max="1" width="4" style="55" customWidth="1"/>
    <col min="2" max="2" width="41.5546875" style="55" customWidth="1"/>
    <col min="3" max="3" width="7.88671875" style="55" customWidth="1"/>
    <col min="4" max="4" width="8.88671875" style="55" customWidth="1"/>
    <col min="5" max="5" width="16.33203125" style="55" customWidth="1"/>
    <col min="6" max="6" width="7.5546875" style="55" customWidth="1"/>
    <col min="7" max="7" width="8.44140625" style="55" customWidth="1"/>
    <col min="8" max="8" width="16.33203125" style="55" customWidth="1"/>
    <col min="9" max="9" width="7.88671875" style="55" customWidth="1"/>
    <col min="10" max="10" width="8.88671875" style="55" customWidth="1"/>
    <col min="11" max="11" width="16.33203125" style="55" customWidth="1"/>
    <col min="12" max="16384" width="9.109375" style="55"/>
  </cols>
  <sheetData>
    <row r="1" spans="1:11" s="46" customFormat="1" ht="33" customHeight="1" x14ac:dyDescent="0.3">
      <c r="A1" s="95" t="s">
        <v>162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s="50" customFormat="1" ht="18.75" customHeight="1" x14ac:dyDescent="0.3">
      <c r="A2" s="96" t="s">
        <v>0</v>
      </c>
      <c r="B2" s="96" t="s">
        <v>61</v>
      </c>
      <c r="C2" s="98" t="s">
        <v>15</v>
      </c>
      <c r="D2" s="99"/>
      <c r="E2" s="100"/>
      <c r="F2" s="98" t="s">
        <v>16</v>
      </c>
      <c r="G2" s="99"/>
      <c r="H2" s="100"/>
      <c r="I2" s="98" t="s">
        <v>62</v>
      </c>
      <c r="J2" s="99"/>
      <c r="K2" s="100"/>
    </row>
    <row r="3" spans="1:11" s="44" customFormat="1" ht="26.25" customHeight="1" x14ac:dyDescent="0.3">
      <c r="A3" s="97"/>
      <c r="B3" s="97"/>
      <c r="C3" s="32" t="s">
        <v>11</v>
      </c>
      <c r="D3" s="33" t="s">
        <v>9</v>
      </c>
      <c r="E3" s="33" t="s">
        <v>10</v>
      </c>
      <c r="F3" s="32" t="s">
        <v>11</v>
      </c>
      <c r="G3" s="33" t="s">
        <v>9</v>
      </c>
      <c r="H3" s="33" t="s">
        <v>10</v>
      </c>
      <c r="I3" s="32" t="s">
        <v>11</v>
      </c>
      <c r="J3" s="33" t="s">
        <v>9</v>
      </c>
      <c r="K3" s="33" t="s">
        <v>10</v>
      </c>
    </row>
    <row r="4" spans="1:11" s="51" customFormat="1" ht="15.6" x14ac:dyDescent="0.3">
      <c r="A4" s="34">
        <v>1</v>
      </c>
      <c r="B4" s="35" t="s">
        <v>19</v>
      </c>
      <c r="C4" s="36">
        <f>MIN(C6:C7)</f>
        <v>1</v>
      </c>
      <c r="D4" s="37" t="str">
        <f>IF(C4&lt;90%,"&lt;90%",IF(C4&lt;100%,"90%-100%","100% и&gt;"))</f>
        <v>100% и&gt;</v>
      </c>
      <c r="E4" s="37" t="str">
        <f>IF(D4="&lt;90%","не выполнено",IF(D4="90%-100%","в целом выполнено","выполнено"))</f>
        <v>выполнено</v>
      </c>
      <c r="F4" s="36">
        <f>MIN(F6:F7)</f>
        <v>0.94862385321100917</v>
      </c>
      <c r="G4" s="37" t="str">
        <f>IF(F4&lt;90%,"&lt;90%",IF(F4&lt;100%,"90%-100%","100% и&gt;"))</f>
        <v>90%-100%</v>
      </c>
      <c r="H4" s="37" t="str">
        <f>IF(G4="&lt;90%","не выполнено",IF(G4="90%-100%","в целом выполнено","выполнено"))</f>
        <v>в целом выполнено</v>
      </c>
      <c r="I4" s="36">
        <f>MIN(I6:I7)</f>
        <v>0.97431192660550459</v>
      </c>
      <c r="J4" s="37" t="str">
        <f>IF(I4&lt;90%,"&lt;90%",IF(I4&lt;100%,"90%-100%","100% и&gt;"))</f>
        <v>90%-100%</v>
      </c>
      <c r="K4" s="37" t="str">
        <f>IF(J4="&lt;90%","не выполнено",IF(J4="90%-100%","в целом выполнено","выполнено"))</f>
        <v>в целом выполнено</v>
      </c>
    </row>
    <row r="5" spans="1:11" s="52" customFormat="1" ht="11.25" customHeight="1" x14ac:dyDescent="0.3">
      <c r="A5" s="38"/>
      <c r="B5" s="56" t="s">
        <v>63</v>
      </c>
      <c r="C5" s="39"/>
      <c r="D5" s="40"/>
      <c r="E5" s="40"/>
      <c r="F5" s="39"/>
      <c r="G5" s="40"/>
      <c r="H5" s="40"/>
      <c r="I5" s="39"/>
      <c r="J5" s="40"/>
      <c r="K5" s="40"/>
    </row>
    <row r="6" spans="1:11" s="53" customFormat="1" ht="13.2" x14ac:dyDescent="0.3">
      <c r="A6" s="41" t="s">
        <v>64</v>
      </c>
      <c r="B6" s="43" t="s">
        <v>116</v>
      </c>
      <c r="C6" s="42">
        <f>'оценка 2018'!J6</f>
        <v>1</v>
      </c>
      <c r="D6" s="37" t="str">
        <f>IF(C6&lt;90%,"&lt;90%",IF(C6&lt;100%,"90%-100%","100% и&gt;"))</f>
        <v>100% и&gt;</v>
      </c>
      <c r="E6" s="37" t="str">
        <f>IF(D6="&lt;90%","не выполнено",IF(D6="90%-100%","в целом выполнено","выполнено"))</f>
        <v>выполнено</v>
      </c>
      <c r="F6" s="42">
        <f>'оценка 2018'!J12</f>
        <v>1</v>
      </c>
      <c r="G6" s="37" t="str">
        <f>IF(F6&lt;90%,"&lt;90%",IF(F6&lt;100%,"90%-100%","100% и&gt;"))</f>
        <v>100% и&gt;</v>
      </c>
      <c r="H6" s="37" t="str">
        <f>IF(G6="&lt;90%","не выполнено",IF(G6="90%-100%","в целом выполнено","выполнено"))</f>
        <v>выполнено</v>
      </c>
      <c r="I6" s="42">
        <f>'оценка 2018'!K6</f>
        <v>1</v>
      </c>
      <c r="J6" s="37" t="str">
        <f>IF(I6&lt;90%,"&lt;90%",IF(I6&lt;100%,"90%-100%","100% и&gt;"))</f>
        <v>100% и&gt;</v>
      </c>
      <c r="K6" s="37" t="str">
        <f>IF(J6="&lt;90%","не выполнено",IF(J6="90%-100%","в целом выполнено","выполнено"))</f>
        <v>выполнено</v>
      </c>
    </row>
    <row r="7" spans="1:11" s="53" customFormat="1" ht="13.2" x14ac:dyDescent="0.3">
      <c r="A7" s="41" t="s">
        <v>65</v>
      </c>
      <c r="B7" s="43" t="s">
        <v>117</v>
      </c>
      <c r="C7" s="42">
        <f>'оценка 2018'!J13</f>
        <v>1</v>
      </c>
      <c r="D7" s="37" t="str">
        <f>IF(C7&lt;90%,"&lt;90%",IF(C7&lt;100%,"90%-100%","100% и&gt;"))</f>
        <v>100% и&gt;</v>
      </c>
      <c r="E7" s="37" t="str">
        <f>IF(D7="&lt;90%","не выполнено",IF(D7="90%-100%","в целом выполнено","выполнено"))</f>
        <v>выполнено</v>
      </c>
      <c r="F7" s="58">
        <f>'оценка 2018'!J19</f>
        <v>0.94862385321100917</v>
      </c>
      <c r="G7" s="59" t="str">
        <f>IF(F7&lt;90%,"&lt;90%",IF(F7&lt;100%,"90%-100%","100% и&gt;"))</f>
        <v>90%-100%</v>
      </c>
      <c r="H7" s="59" t="str">
        <f>IF(G7="&lt;90%","не выполнено",IF(G7="90%-100%","в целом выполнено","выполнено"))</f>
        <v>в целом выполнено</v>
      </c>
      <c r="I7" s="58">
        <f>'оценка 2018'!K13</f>
        <v>0.97431192660550459</v>
      </c>
      <c r="J7" s="59" t="str">
        <f>IF(I7&lt;90%,"&lt;90%",IF(I7&lt;100%,"90%-100%","100% и&gt;"))</f>
        <v>90%-100%</v>
      </c>
      <c r="K7" s="59" t="str">
        <f>IF(J7="&lt;90%","не выполнено",IF(J7="90%-100%","в целом выполнено","выполнено"))</f>
        <v>в целом выполнено</v>
      </c>
    </row>
    <row r="8" spans="1:11" s="51" customFormat="1" ht="15.6" x14ac:dyDescent="0.3">
      <c r="A8" s="34" t="s">
        <v>3</v>
      </c>
      <c r="B8" s="35" t="s">
        <v>18</v>
      </c>
      <c r="C8" s="36">
        <f>MIN(C10:C11)</f>
        <v>1</v>
      </c>
      <c r="D8" s="37" t="str">
        <f>IF(C8&lt;90%,"&lt;90%",IF(C8&lt;100%,"90%-100%","100% и&gt;"))</f>
        <v>100% и&gt;</v>
      </c>
      <c r="E8" s="37" t="str">
        <f>IF(D8="&lt;90%","не выполнено",IF(D8="90%-100%","в целом выполнено","выполнено"))</f>
        <v>выполнено</v>
      </c>
      <c r="F8" s="36">
        <f>MIN(F10:F11)</f>
        <v>1</v>
      </c>
      <c r="G8" s="37" t="str">
        <f>IF(F8&lt;90%,"&lt;90%",IF(F8&lt;100%,"90%-100%","100% и&gt;"))</f>
        <v>100% и&gt;</v>
      </c>
      <c r="H8" s="37" t="str">
        <f>IF(G8="&lt;90%","не выполнено",IF(G8="90%-100%","в целом выполнено","выполнено"))</f>
        <v>выполнено</v>
      </c>
      <c r="I8" s="36">
        <f>MIN(I10:I11)</f>
        <v>1</v>
      </c>
      <c r="J8" s="37" t="str">
        <f>IF(I8&lt;90%,"&lt;90%",IF(I8&lt;100%,"90%-100%","100% и&gt;"))</f>
        <v>100% и&gt;</v>
      </c>
      <c r="K8" s="37" t="str">
        <f>IF(J8="&lt;90%","не выполнено",IF(J8="90%-100%","в целом выполнено","выполнено"))</f>
        <v>выполнено</v>
      </c>
    </row>
    <row r="9" spans="1:11" s="52" customFormat="1" ht="11.25" customHeight="1" x14ac:dyDescent="0.3">
      <c r="A9" s="38"/>
      <c r="B9" s="56" t="s">
        <v>66</v>
      </c>
      <c r="C9" s="39"/>
      <c r="D9" s="40"/>
      <c r="E9" s="40"/>
      <c r="F9" s="39"/>
      <c r="G9" s="40"/>
      <c r="H9" s="40"/>
      <c r="I9" s="39"/>
      <c r="J9" s="40"/>
      <c r="K9" s="40"/>
    </row>
    <row r="10" spans="1:11" s="53" customFormat="1" ht="13.2" x14ac:dyDescent="0.3">
      <c r="A10" s="41" t="s">
        <v>67</v>
      </c>
      <c r="B10" s="43" t="s">
        <v>116</v>
      </c>
      <c r="C10" s="42">
        <f>'оценка 2018'!J20</f>
        <v>1</v>
      </c>
      <c r="D10" s="37" t="str">
        <f>IF(C10&lt;90%,"&lt;90%",IF(C10&lt;100%,"90%-100%","100% и&gt;"))</f>
        <v>100% и&gt;</v>
      </c>
      <c r="E10" s="37" t="str">
        <f>IF(D10="&lt;90%","не выполнено",IF(D10="90%-100%","в целом выполнено","выполнено"))</f>
        <v>выполнено</v>
      </c>
      <c r="F10" s="42">
        <f>'оценка 2018'!J26</f>
        <v>1</v>
      </c>
      <c r="G10" s="37" t="str">
        <f>IF(F10&lt;90%,"&lt;90%",IF(F10&lt;100%,"90%-100%","100% и&gt;"))</f>
        <v>100% и&gt;</v>
      </c>
      <c r="H10" s="37" t="str">
        <f>IF(G10="&lt;90%","не выполнено",IF(G10="90%-100%","в целом выполнено","выполнено"))</f>
        <v>выполнено</v>
      </c>
      <c r="I10" s="42">
        <f>'оценка 2018'!K20</f>
        <v>1</v>
      </c>
      <c r="J10" s="37" t="str">
        <f>IF(I10&lt;90%,"&lt;90%",IF(I10&lt;100%,"90%-100%","100% и&gt;"))</f>
        <v>100% и&gt;</v>
      </c>
      <c r="K10" s="37" t="str">
        <f>IF(J10="&lt;90%","не выполнено",IF(J10="90%-100%","в целом выполнено","выполнено"))</f>
        <v>выполнено</v>
      </c>
    </row>
    <row r="11" spans="1:11" s="53" customFormat="1" ht="13.2" x14ac:dyDescent="0.3">
      <c r="A11" s="41" t="s">
        <v>68</v>
      </c>
      <c r="B11" s="43" t="s">
        <v>117</v>
      </c>
      <c r="C11" s="42">
        <f>'оценка 2018'!J27</f>
        <v>1</v>
      </c>
      <c r="D11" s="37" t="str">
        <f>IF(C11&lt;90%,"&lt;90%",IF(C11&lt;100%,"90%-100%","100% и&gt;"))</f>
        <v>100% и&gt;</v>
      </c>
      <c r="E11" s="37" t="str">
        <f>IF(D11="&lt;90%","не выполнено",IF(D11="90%-100%","в целом выполнено","выполнено"))</f>
        <v>выполнено</v>
      </c>
      <c r="F11" s="42">
        <f>'оценка 2018'!J33</f>
        <v>1</v>
      </c>
      <c r="G11" s="37" t="str">
        <f>IF(F11&lt;90%,"&lt;90%",IF(F11&lt;100%,"90%-100%","100% и&gt;"))</f>
        <v>100% и&gt;</v>
      </c>
      <c r="H11" s="37" t="str">
        <f>IF(G11="&lt;90%","не выполнено",IF(G11="90%-100%","в целом выполнено","выполнено"))</f>
        <v>выполнено</v>
      </c>
      <c r="I11" s="42">
        <f>'оценка 2018'!K27</f>
        <v>1</v>
      </c>
      <c r="J11" s="37" t="str">
        <f>IF(I11&lt;90%,"&lt;90%",IF(I11&lt;100%,"90%-100%","100% и&gt;"))</f>
        <v>100% и&gt;</v>
      </c>
      <c r="K11" s="37" t="str">
        <f>IF(J11="&lt;90%","не выполнено",IF(J11="90%-100%","в целом выполнено","выполнено"))</f>
        <v>выполнено</v>
      </c>
    </row>
    <row r="12" spans="1:11" s="51" customFormat="1" ht="15.6" x14ac:dyDescent="0.3">
      <c r="A12" s="34" t="s">
        <v>4</v>
      </c>
      <c r="B12" s="35" t="s">
        <v>21</v>
      </c>
      <c r="C12" s="36">
        <f>MIN(C14:C15)</f>
        <v>1</v>
      </c>
      <c r="D12" s="37" t="str">
        <f>IF(C12&lt;90%,"&lt;90%",IF(C12&lt;100%,"90%-100%","100% и&gt;"))</f>
        <v>100% и&gt;</v>
      </c>
      <c r="E12" s="37" t="str">
        <f>IF(D12="&lt;90%","не выполнено",IF(D12="90%-100%","в целом выполнено","выполнено"))</f>
        <v>выполнено</v>
      </c>
      <c r="F12" s="36">
        <f>MIN(F14:F15)</f>
        <v>1</v>
      </c>
      <c r="G12" s="37" t="str">
        <f>IF(F12&lt;90%,"&lt;90%",IF(F12&lt;100%,"90%-100%","100% и&gt;"))</f>
        <v>100% и&gt;</v>
      </c>
      <c r="H12" s="37" t="str">
        <f>IF(G12="&lt;90%","не выполнено",IF(G12="90%-100%","в целом выполнено","выполнено"))</f>
        <v>выполнено</v>
      </c>
      <c r="I12" s="36">
        <f>MIN(I14:I15)</f>
        <v>1</v>
      </c>
      <c r="J12" s="37" t="str">
        <f>IF(I12&lt;90%,"&lt;90%",IF(I12&lt;100%,"90%-100%","100% и&gt;"))</f>
        <v>100% и&gt;</v>
      </c>
      <c r="K12" s="37" t="str">
        <f>IF(J12="&lt;90%","не выполнено",IF(J12="90%-100%","в целом выполнено","выполнено"))</f>
        <v>выполнено</v>
      </c>
    </row>
    <row r="13" spans="1:11" s="52" customFormat="1" ht="11.25" customHeight="1" x14ac:dyDescent="0.3">
      <c r="A13" s="38"/>
      <c r="B13" s="56" t="s">
        <v>66</v>
      </c>
      <c r="C13" s="39"/>
      <c r="D13" s="40"/>
      <c r="E13" s="40"/>
      <c r="F13" s="39"/>
      <c r="G13" s="40"/>
      <c r="H13" s="40"/>
      <c r="I13" s="39"/>
      <c r="J13" s="40"/>
      <c r="K13" s="40"/>
    </row>
    <row r="14" spans="1:11" s="53" customFormat="1" ht="13.2" x14ac:dyDescent="0.3">
      <c r="A14" s="41" t="s">
        <v>69</v>
      </c>
      <c r="B14" s="43" t="s">
        <v>117</v>
      </c>
      <c r="C14" s="42">
        <f>'оценка 2018'!J67</f>
        <v>1</v>
      </c>
      <c r="D14" s="37" t="str">
        <f>IF(C14&lt;90%,"&lt;90%",IF(C14&lt;100%,"90%-100%","100% и&gt;"))</f>
        <v>100% и&gt;</v>
      </c>
      <c r="E14" s="37" t="str">
        <f>IF(D14="&lt;90%","не выполнено",IF(D14="90%-100%","в целом выполнено","выполнено"))</f>
        <v>выполнено</v>
      </c>
      <c r="F14" s="42">
        <f>'оценка 2018'!J73</f>
        <v>1</v>
      </c>
      <c r="G14" s="37" t="str">
        <f>IF(F14&lt;90%,"&lt;90%",IF(F14&lt;100%,"90%-100%","100% и&gt;"))</f>
        <v>100% и&gt;</v>
      </c>
      <c r="H14" s="37" t="str">
        <f>IF(G14="&lt;90%","не выполнено",IF(G14="90%-100%","в целом выполнено","выполнено"))</f>
        <v>выполнено</v>
      </c>
      <c r="I14" s="42">
        <f>'оценка 2018'!K67</f>
        <v>1</v>
      </c>
      <c r="J14" s="37" t="str">
        <f>IF(I14&lt;90%,"&lt;90%",IF(I14&lt;100%,"90%-100%","100% и&gt;"))</f>
        <v>100% и&gt;</v>
      </c>
      <c r="K14" s="37" t="str">
        <f>IF(J14="&lt;90%","не выполнено",IF(J14="90%-100%","в целом выполнено","выполнено"))</f>
        <v>выполнено</v>
      </c>
    </row>
    <row r="15" spans="1:11" s="53" customFormat="1" ht="13.2" x14ac:dyDescent="0.3">
      <c r="A15" s="41" t="s">
        <v>70</v>
      </c>
      <c r="B15" s="43" t="s">
        <v>118</v>
      </c>
      <c r="C15" s="42">
        <f>'оценка 2018'!J74</f>
        <v>1</v>
      </c>
      <c r="D15" s="37" t="str">
        <f>IF(C15&lt;90%,"&lt;90%",IF(C15&lt;100%,"90%-100%","100% и&gt;"))</f>
        <v>100% и&gt;</v>
      </c>
      <c r="E15" s="37" t="str">
        <f>IF(D15="&lt;90%","не выполнено",IF(D15="90%-100%","в целом выполнено","выполнено"))</f>
        <v>выполнено</v>
      </c>
      <c r="F15" s="42">
        <f>'оценка 2018'!J78</f>
        <v>1</v>
      </c>
      <c r="G15" s="37" t="str">
        <f>IF(F15&lt;90%,"&lt;90%",IF(F15&lt;100%,"90%-100%","100% и&gt;"))</f>
        <v>100% и&gt;</v>
      </c>
      <c r="H15" s="37" t="str">
        <f>IF(G15="&lt;90%","не выполнено",IF(G15="90%-100%","в целом выполнено","выполнено"))</f>
        <v>выполнено</v>
      </c>
      <c r="I15" s="42">
        <f>'оценка 2018'!K74</f>
        <v>1</v>
      </c>
      <c r="J15" s="37" t="str">
        <f>IF(I15&lt;90%,"&lt;90%",IF(I15&lt;100%,"90%-100%","100% и&gt;"))</f>
        <v>100% и&gt;</v>
      </c>
      <c r="K15" s="37" t="str">
        <f>IF(J15="&lt;90%","не выполнено",IF(J15="90%-100%","в целом выполнено","выполнено"))</f>
        <v>выполнено</v>
      </c>
    </row>
    <row r="16" spans="1:11" s="53" customFormat="1" ht="13.2" hidden="1" x14ac:dyDescent="0.3">
      <c r="A16" s="41" t="s">
        <v>72</v>
      </c>
      <c r="B16" s="43" t="s">
        <v>73</v>
      </c>
      <c r="C16" s="42"/>
      <c r="D16" s="37"/>
      <c r="E16" s="37"/>
      <c r="F16" s="42"/>
      <c r="G16" s="37"/>
      <c r="H16" s="37"/>
      <c r="I16" s="42"/>
      <c r="J16" s="37"/>
      <c r="K16" s="37"/>
    </row>
    <row r="17" spans="1:11" s="51" customFormat="1" ht="15.6" x14ac:dyDescent="0.3">
      <c r="A17" s="34" t="s">
        <v>5</v>
      </c>
      <c r="B17" s="35" t="s">
        <v>30</v>
      </c>
      <c r="C17" s="36">
        <f>MIN(C19:C20)</f>
        <v>1</v>
      </c>
      <c r="D17" s="37" t="str">
        <f>IF(C17&lt;90%,"&lt;90%",IF(C17&lt;100%,"90%-100%","100% и&gt;"))</f>
        <v>100% и&gt;</v>
      </c>
      <c r="E17" s="37" t="str">
        <f>IF(D17="&lt;90%","не выполнено",IF(D17="90%-100%","в целом выполнено","выполнено"))</f>
        <v>выполнено</v>
      </c>
      <c r="F17" s="36">
        <f>MIN(F19:F20)</f>
        <v>1</v>
      </c>
      <c r="G17" s="37" t="str">
        <f>IF(F17&lt;90%,"&lt;90%",IF(F17&lt;100%,"90%-100%","100% и&gt;"))</f>
        <v>100% и&gt;</v>
      </c>
      <c r="H17" s="37" t="str">
        <f>IF(G17="&lt;90%","не выполнено",IF(G17="90%-100%","в целом выполнено","выполнено"))</f>
        <v>выполнено</v>
      </c>
      <c r="I17" s="36">
        <f>MIN(I19:I20)</f>
        <v>1</v>
      </c>
      <c r="J17" s="37" t="str">
        <f>IF(I17&lt;90%,"&lt;90%",IF(I17&lt;100%,"90%-100%","100% и&gt;"))</f>
        <v>100% и&gt;</v>
      </c>
      <c r="K17" s="37" t="str">
        <f>IF(J17="&lt;90%","не выполнено",IF(J17="90%-100%","в целом выполнено","выполнено"))</f>
        <v>выполнено</v>
      </c>
    </row>
    <row r="18" spans="1:11" s="52" customFormat="1" ht="11.25" customHeight="1" x14ac:dyDescent="0.3">
      <c r="A18" s="38"/>
      <c r="B18" s="56" t="s">
        <v>63</v>
      </c>
      <c r="C18" s="39"/>
      <c r="D18" s="40"/>
      <c r="E18" s="40"/>
      <c r="F18" s="39"/>
      <c r="G18" s="40"/>
      <c r="H18" s="40"/>
      <c r="I18" s="39"/>
      <c r="J18" s="40"/>
      <c r="K18" s="40"/>
    </row>
    <row r="19" spans="1:11" s="53" customFormat="1" ht="13.2" x14ac:dyDescent="0.3">
      <c r="A19" s="41" t="s">
        <v>74</v>
      </c>
      <c r="B19" s="43" t="s">
        <v>117</v>
      </c>
      <c r="C19" s="42">
        <f>'оценка 2018'!J79</f>
        <v>1</v>
      </c>
      <c r="D19" s="37" t="str">
        <f>IF(C19&lt;90%,"&lt;90%",IF(C19&lt;100%,"90%-100%","100% и&gt;"))</f>
        <v>100% и&gt;</v>
      </c>
      <c r="E19" s="37" t="str">
        <f>IF(D19="&lt;90%","не выполнено",IF(D19="90%-100%","в целом выполнено","выполнено"))</f>
        <v>выполнено</v>
      </c>
      <c r="F19" s="42">
        <f>'оценка 2018'!J85</f>
        <v>1</v>
      </c>
      <c r="G19" s="37" t="str">
        <f>IF(F19&lt;90%,"&lt;90%",IF(F19&lt;100%,"90%-100%","100% и&gt;"))</f>
        <v>100% и&gt;</v>
      </c>
      <c r="H19" s="37" t="str">
        <f>IF(G19="&lt;90%","не выполнено",IF(G19="90%-100%","в целом выполнено","выполнено"))</f>
        <v>выполнено</v>
      </c>
      <c r="I19" s="42">
        <f>'оценка 2018'!K79</f>
        <v>1</v>
      </c>
      <c r="J19" s="37" t="str">
        <f>IF(I19&lt;90%,"&lt;90%",IF(I19&lt;100%,"90%-100%","100% и&gt;"))</f>
        <v>100% и&gt;</v>
      </c>
      <c r="K19" s="37" t="str">
        <f>IF(J19="&lt;90%","не выполнено",IF(J19="90%-100%","в целом выполнено","выполнено"))</f>
        <v>выполнено</v>
      </c>
    </row>
    <row r="20" spans="1:11" s="53" customFormat="1" ht="13.2" x14ac:dyDescent="0.3">
      <c r="A20" s="41" t="s">
        <v>75</v>
      </c>
      <c r="B20" s="43" t="s">
        <v>118</v>
      </c>
      <c r="C20" s="42">
        <f>'оценка 2018'!J86</f>
        <v>1</v>
      </c>
      <c r="D20" s="37" t="str">
        <f>IF(C20&lt;90%,"&lt;90%",IF(C20&lt;100%,"90%-100%","100% и&gt;"))</f>
        <v>100% и&gt;</v>
      </c>
      <c r="E20" s="37" t="str">
        <f>IF(D20="&lt;90%","не выполнено",IF(D20="90%-100%","в целом выполнено","выполнено"))</f>
        <v>выполнено</v>
      </c>
      <c r="F20" s="42">
        <f>'оценка 2018'!J90</f>
        <v>1</v>
      </c>
      <c r="G20" s="37" t="str">
        <f>IF(F20&lt;90%,"&lt;90%",IF(F20&lt;100%,"90%-100%","100% и&gt;"))</f>
        <v>100% и&gt;</v>
      </c>
      <c r="H20" s="37" t="str">
        <f>IF(G20="&lt;90%","не выполнено",IF(G20="90%-100%","в целом выполнено","выполнено"))</f>
        <v>выполнено</v>
      </c>
      <c r="I20" s="42">
        <f>'оценка 2018'!K86</f>
        <v>1</v>
      </c>
      <c r="J20" s="37" t="str">
        <f>IF(I20&lt;90%,"&lt;90%",IF(I20&lt;100%,"90%-100%","100% и&gt;"))</f>
        <v>100% и&gt;</v>
      </c>
      <c r="K20" s="37" t="str">
        <f>IF(J20="&lt;90%","не выполнено",IF(J20="90%-100%","в целом выполнено","выполнено"))</f>
        <v>выполнено</v>
      </c>
    </row>
    <row r="21" spans="1:11" s="53" customFormat="1" ht="13.2" hidden="1" x14ac:dyDescent="0.3">
      <c r="A21" s="41" t="s">
        <v>76</v>
      </c>
      <c r="B21" s="43" t="s">
        <v>73</v>
      </c>
      <c r="C21" s="42"/>
      <c r="D21" s="37"/>
      <c r="E21" s="37"/>
      <c r="F21" s="42"/>
      <c r="G21" s="37"/>
      <c r="H21" s="37"/>
      <c r="I21" s="42"/>
      <c r="J21" s="37"/>
      <c r="K21" s="37"/>
    </row>
    <row r="22" spans="1:11" s="51" customFormat="1" ht="15.6" x14ac:dyDescent="0.3">
      <c r="A22" s="34" t="s">
        <v>6</v>
      </c>
      <c r="B22" s="35" t="s">
        <v>29</v>
      </c>
      <c r="C22" s="36">
        <f>MIN(C24:C25)</f>
        <v>1</v>
      </c>
      <c r="D22" s="37" t="str">
        <f>IF(C22&lt;90%,"&lt;90%",IF(C22&lt;100%,"90%-100%","100% и&gt;"))</f>
        <v>100% и&gt;</v>
      </c>
      <c r="E22" s="37" t="str">
        <f>IF(D22="&lt;90%","не выполнено",IF(D22="90%-100%","в целом выполнено","выполнено"))</f>
        <v>выполнено</v>
      </c>
      <c r="F22" s="36">
        <f>MIN(F24:F25)</f>
        <v>1</v>
      </c>
      <c r="G22" s="37" t="str">
        <f>IF(F22&lt;90%,"&lt;90%",IF(F22&lt;100%,"90%-100%","100% и&gt;"))</f>
        <v>100% и&gt;</v>
      </c>
      <c r="H22" s="37" t="str">
        <f>IF(G22="&lt;90%","не выполнено",IF(G22="90%-100%","в целом выполнено","выполнено"))</f>
        <v>выполнено</v>
      </c>
      <c r="I22" s="36">
        <f>MIN(I24:I25)</f>
        <v>1</v>
      </c>
      <c r="J22" s="37" t="str">
        <f>IF(I22&lt;90%,"&lt;90%",IF(I22&lt;100%,"90%-100%","100% и&gt;"))</f>
        <v>100% и&gt;</v>
      </c>
      <c r="K22" s="37" t="str">
        <f>IF(J22="&lt;90%","не выполнено",IF(J22="90%-100%","в целом выполнено","выполнено"))</f>
        <v>выполнено</v>
      </c>
    </row>
    <row r="23" spans="1:11" s="52" customFormat="1" ht="11.25" customHeight="1" x14ac:dyDescent="0.3">
      <c r="A23" s="38"/>
      <c r="B23" s="56" t="s">
        <v>63</v>
      </c>
      <c r="C23" s="39"/>
      <c r="D23" s="40"/>
      <c r="E23" s="40"/>
      <c r="F23" s="39"/>
      <c r="G23" s="40"/>
      <c r="H23" s="40"/>
      <c r="I23" s="39"/>
      <c r="J23" s="40"/>
      <c r="K23" s="40"/>
    </row>
    <row r="24" spans="1:11" s="53" customFormat="1" ht="13.2" x14ac:dyDescent="0.3">
      <c r="A24" s="41" t="s">
        <v>77</v>
      </c>
      <c r="B24" s="43" t="s">
        <v>117</v>
      </c>
      <c r="C24" s="42">
        <f>'оценка 2018'!J91</f>
        <v>1</v>
      </c>
      <c r="D24" s="37" t="str">
        <f>IF(C24&lt;90%,"&lt;90%",IF(C24&lt;100%,"90%-100%","100% и&gt;"))</f>
        <v>100% и&gt;</v>
      </c>
      <c r="E24" s="37" t="str">
        <f>IF(D24="&lt;90%","не выполнено",IF(D24="90%-100%","в целом выполнено","выполнено"))</f>
        <v>выполнено</v>
      </c>
      <c r="F24" s="42">
        <f>'оценка 2018'!J97</f>
        <v>1</v>
      </c>
      <c r="G24" s="37" t="str">
        <f>IF(F24&lt;90%,"&lt;90%",IF(F24&lt;100%,"90%-100%","100% и&gt;"))</f>
        <v>100% и&gt;</v>
      </c>
      <c r="H24" s="37" t="str">
        <f>IF(G24="&lt;90%","не выполнено",IF(G24="90%-100%","в целом выполнено","выполнено"))</f>
        <v>выполнено</v>
      </c>
      <c r="I24" s="42">
        <f>'оценка 2018'!K91</f>
        <v>1</v>
      </c>
      <c r="J24" s="37" t="str">
        <f>IF(I24&lt;90%,"&lt;90%",IF(I24&lt;100%,"90%-100%","100% и&gt;"))</f>
        <v>100% и&gt;</v>
      </c>
      <c r="K24" s="37" t="str">
        <f>IF(J24="&lt;90%","не выполнено",IF(J24="90%-100%","в целом выполнено","выполнено"))</f>
        <v>выполнено</v>
      </c>
    </row>
    <row r="25" spans="1:11" s="53" customFormat="1" ht="13.2" x14ac:dyDescent="0.3">
      <c r="A25" s="41" t="s">
        <v>78</v>
      </c>
      <c r="B25" s="43" t="s">
        <v>118</v>
      </c>
      <c r="C25" s="42">
        <f>'оценка 2018'!J98</f>
        <v>1</v>
      </c>
      <c r="D25" s="37" t="str">
        <f>IF(C25&lt;90%,"&lt;90%",IF(C25&lt;100%,"90%-100%","100% и&gt;"))</f>
        <v>100% и&gt;</v>
      </c>
      <c r="E25" s="37" t="str">
        <f>IF(D25="&lt;90%","не выполнено",IF(D25="90%-100%","в целом выполнено","выполнено"))</f>
        <v>выполнено</v>
      </c>
      <c r="F25" s="42">
        <f>'оценка 2018'!J102</f>
        <v>1</v>
      </c>
      <c r="G25" s="37" t="str">
        <f>IF(F25&lt;90%,"&lt;90%",IF(F25&lt;100%,"90%-100%","100% и&gt;"))</f>
        <v>100% и&gt;</v>
      </c>
      <c r="H25" s="37" t="str">
        <f>IF(G25="&lt;90%","не выполнено",IF(G25="90%-100%","в целом выполнено","выполнено"))</f>
        <v>выполнено</v>
      </c>
      <c r="I25" s="42">
        <f>'оценка 2018'!K98</f>
        <v>1</v>
      </c>
      <c r="J25" s="37" t="str">
        <f>IF(I25&lt;90%,"&lt;90%",IF(I25&lt;100%,"90%-100%","100% и&gt;"))</f>
        <v>100% и&gt;</v>
      </c>
      <c r="K25" s="37" t="str">
        <f>IF(J25="&lt;90%","не выполнено",IF(J25="90%-100%","в целом выполнено","выполнено"))</f>
        <v>выполнено</v>
      </c>
    </row>
    <row r="26" spans="1:11" s="53" customFormat="1" ht="13.2" hidden="1" x14ac:dyDescent="0.3">
      <c r="A26" s="41" t="s">
        <v>79</v>
      </c>
      <c r="B26" s="43" t="s">
        <v>73</v>
      </c>
      <c r="C26" s="42"/>
      <c r="D26" s="37"/>
      <c r="E26" s="37"/>
      <c r="F26" s="42"/>
      <c r="G26" s="37"/>
      <c r="H26" s="37"/>
      <c r="I26" s="42"/>
      <c r="J26" s="37"/>
      <c r="K26" s="37"/>
    </row>
    <row r="27" spans="1:11" s="51" customFormat="1" ht="15.6" x14ac:dyDescent="0.3">
      <c r="A27" s="34" t="s">
        <v>80</v>
      </c>
      <c r="B27" s="35" t="s">
        <v>28</v>
      </c>
      <c r="C27" s="36">
        <f>MIN(C29:C30)</f>
        <v>1</v>
      </c>
      <c r="D27" s="37" t="str">
        <f>IF(C27&lt;90%,"&lt;90%",IF(C27&lt;100%,"90%-100%","100% и&gt;"))</f>
        <v>100% и&gt;</v>
      </c>
      <c r="E27" s="37" t="str">
        <f>IF(D27="&lt;90%","не выполнено",IF(D27="90%-100%","в целом выполнено","выполнено"))</f>
        <v>выполнено</v>
      </c>
      <c r="F27" s="36">
        <f>MIN(F29:F30)</f>
        <v>1</v>
      </c>
      <c r="G27" s="37" t="str">
        <f>IF(F27&lt;90%,"&lt;90%",IF(F27&lt;100%,"90%-100%","100% и&gt;"))</f>
        <v>100% и&gt;</v>
      </c>
      <c r="H27" s="37" t="str">
        <f>IF(G27="&lt;90%","не выполнено",IF(G27="90%-100%","в целом выполнено","выполнено"))</f>
        <v>выполнено</v>
      </c>
      <c r="I27" s="36">
        <f>MIN(I29:I30)</f>
        <v>1</v>
      </c>
      <c r="J27" s="37" t="str">
        <f>IF(I27&lt;90%,"&lt;90%",IF(I27&lt;100%,"90%-100%","100% и&gt;"))</f>
        <v>100% и&gt;</v>
      </c>
      <c r="K27" s="37" t="str">
        <f>IF(J27="&lt;90%","не выполнено",IF(J27="90%-100%","в целом выполнено","выполнено"))</f>
        <v>выполнено</v>
      </c>
    </row>
    <row r="28" spans="1:11" s="52" customFormat="1" ht="11.25" customHeight="1" x14ac:dyDescent="0.3">
      <c r="A28" s="38"/>
      <c r="B28" s="56" t="s">
        <v>63</v>
      </c>
      <c r="C28" s="39"/>
      <c r="D28" s="40"/>
      <c r="E28" s="40"/>
      <c r="F28" s="39"/>
      <c r="G28" s="40"/>
      <c r="H28" s="40"/>
      <c r="I28" s="39"/>
      <c r="J28" s="40"/>
      <c r="K28" s="40"/>
    </row>
    <row r="29" spans="1:11" s="53" customFormat="1" ht="13.2" x14ac:dyDescent="0.3">
      <c r="A29" s="41" t="s">
        <v>81</v>
      </c>
      <c r="B29" s="43" t="s">
        <v>117</v>
      </c>
      <c r="C29" s="42">
        <f>'оценка 2018'!J103</f>
        <v>1</v>
      </c>
      <c r="D29" s="37" t="str">
        <f>IF(C29&lt;90%,"&lt;90%",IF(C29&lt;100%,"90%-100%","100% и&gt;"))</f>
        <v>100% и&gt;</v>
      </c>
      <c r="E29" s="37" t="str">
        <f>IF(D29="&lt;90%","не выполнено",IF(D29="90%-100%","в целом выполнено","выполнено"))</f>
        <v>выполнено</v>
      </c>
      <c r="F29" s="42">
        <f>'оценка 2018'!J109</f>
        <v>1</v>
      </c>
      <c r="G29" s="37" t="str">
        <f>IF(F29&lt;90%,"&lt;90%",IF(F29&lt;100%,"90%-100%","100% и&gt;"))</f>
        <v>100% и&gt;</v>
      </c>
      <c r="H29" s="37" t="str">
        <f>IF(G29="&lt;90%","не выполнено",IF(G29="90%-100%","в целом выполнено","выполнено"))</f>
        <v>выполнено</v>
      </c>
      <c r="I29" s="42">
        <f>'оценка 2018'!K103</f>
        <v>1</v>
      </c>
      <c r="J29" s="37" t="str">
        <f>IF(I29&lt;90%,"&lt;90%",IF(I29&lt;100%,"90%-100%","100% и&gt;"))</f>
        <v>100% и&gt;</v>
      </c>
      <c r="K29" s="37" t="str">
        <f>IF(J29="&lt;90%","не выполнено",IF(J29="90%-100%","в целом выполнено","выполнено"))</f>
        <v>выполнено</v>
      </c>
    </row>
    <row r="30" spans="1:11" s="53" customFormat="1" ht="13.2" x14ac:dyDescent="0.3">
      <c r="A30" s="41" t="s">
        <v>82</v>
      </c>
      <c r="B30" s="43" t="s">
        <v>118</v>
      </c>
      <c r="C30" s="42">
        <f>'оценка 2018'!J110</f>
        <v>1</v>
      </c>
      <c r="D30" s="37" t="str">
        <f>IF(C30&lt;90%,"&lt;90%",IF(C30&lt;100%,"90%-100%","100% и&gt;"))</f>
        <v>100% и&gt;</v>
      </c>
      <c r="E30" s="37" t="str">
        <f>IF(D30="&lt;90%","не выполнено",IF(D30="90%-100%","в целом выполнено","выполнено"))</f>
        <v>выполнено</v>
      </c>
      <c r="F30" s="42">
        <f>'оценка 2018'!J114</f>
        <v>1</v>
      </c>
      <c r="G30" s="37" t="str">
        <f>IF(F30&lt;90%,"&lt;90%",IF(F30&lt;100%,"90%-100%","100% и&gt;"))</f>
        <v>100% и&gt;</v>
      </c>
      <c r="H30" s="37" t="str">
        <f>IF(G30="&lt;90%","не выполнено",IF(G30="90%-100%","в целом выполнено","выполнено"))</f>
        <v>выполнено</v>
      </c>
      <c r="I30" s="42">
        <f>'оценка 2018'!K110</f>
        <v>1</v>
      </c>
      <c r="J30" s="37" t="str">
        <f>IF(I30&lt;90%,"&lt;90%",IF(I30&lt;100%,"90%-100%","100% и&gt;"))</f>
        <v>100% и&gt;</v>
      </c>
      <c r="K30" s="37" t="str">
        <f>IF(J30="&lt;90%","не выполнено",IF(J30="90%-100%","в целом выполнено","выполнено"))</f>
        <v>выполнено</v>
      </c>
    </row>
    <row r="31" spans="1:11" s="53" customFormat="1" ht="13.2" hidden="1" x14ac:dyDescent="0.3">
      <c r="A31" s="41" t="s">
        <v>83</v>
      </c>
      <c r="B31" s="43" t="s">
        <v>73</v>
      </c>
      <c r="C31" s="42"/>
      <c r="D31" s="37"/>
      <c r="E31" s="37"/>
      <c r="F31" s="42"/>
      <c r="G31" s="37"/>
      <c r="H31" s="37"/>
      <c r="I31" s="42"/>
      <c r="J31" s="37"/>
      <c r="K31" s="37"/>
    </row>
    <row r="32" spans="1:11" s="51" customFormat="1" ht="15.6" x14ac:dyDescent="0.3">
      <c r="A32" s="34" t="s">
        <v>84</v>
      </c>
      <c r="B32" s="35" t="s">
        <v>27</v>
      </c>
      <c r="C32" s="36">
        <f>MIN(C34:C35)</f>
        <v>1</v>
      </c>
      <c r="D32" s="37" t="str">
        <f>IF(C32&lt;90%,"&lt;90%",IF(C32&lt;100%,"90%-100%","100% и&gt;"))</f>
        <v>100% и&gt;</v>
      </c>
      <c r="E32" s="37" t="str">
        <f>IF(D32="&lt;90%","не выполнено",IF(D32="90%-100%","в целом выполнено","выполнено"))</f>
        <v>выполнено</v>
      </c>
      <c r="F32" s="36">
        <f>MIN(F34:F35)</f>
        <v>1</v>
      </c>
      <c r="G32" s="37" t="str">
        <f>IF(F32&lt;90%,"&lt;90%",IF(F32&lt;100%,"90%-100%","100% и&gt;"))</f>
        <v>100% и&gt;</v>
      </c>
      <c r="H32" s="37" t="str">
        <f>IF(G32="&lt;90%","не выполнено",IF(G32="90%-100%","в целом выполнено","выполнено"))</f>
        <v>выполнено</v>
      </c>
      <c r="I32" s="36">
        <f>MIN(I34:I35)</f>
        <v>1</v>
      </c>
      <c r="J32" s="37" t="str">
        <f>IF(I32&lt;90%,"&lt;90%",IF(I32&lt;100%,"90%-100%","100% и&gt;"))</f>
        <v>100% и&gt;</v>
      </c>
      <c r="K32" s="37" t="str">
        <f>IF(J32="&lt;90%","не выполнено",IF(J32="90%-100%","в целом выполнено","выполнено"))</f>
        <v>выполнено</v>
      </c>
    </row>
    <row r="33" spans="1:11" s="52" customFormat="1" ht="11.25" customHeight="1" x14ac:dyDescent="0.3">
      <c r="A33" s="38"/>
      <c r="B33" s="56" t="s">
        <v>63</v>
      </c>
      <c r="C33" s="39"/>
      <c r="D33" s="40"/>
      <c r="E33" s="40"/>
      <c r="F33" s="39"/>
      <c r="G33" s="40"/>
      <c r="H33" s="40"/>
      <c r="I33" s="39"/>
      <c r="J33" s="40"/>
      <c r="K33" s="40"/>
    </row>
    <row r="34" spans="1:11" s="53" customFormat="1" ht="13.2" x14ac:dyDescent="0.3">
      <c r="A34" s="41" t="s">
        <v>85</v>
      </c>
      <c r="B34" s="43" t="s">
        <v>117</v>
      </c>
      <c r="C34" s="42">
        <f>'оценка 2018'!J115</f>
        <v>1</v>
      </c>
      <c r="D34" s="37" t="str">
        <f>IF(C34&lt;90%,"&lt;90%",IF(C34&lt;100%,"90%-100%","100% и&gt;"))</f>
        <v>100% и&gt;</v>
      </c>
      <c r="E34" s="37" t="str">
        <f>IF(D34="&lt;90%","не выполнено",IF(D34="90%-100%","в целом выполнено","выполнено"))</f>
        <v>выполнено</v>
      </c>
      <c r="F34" s="42">
        <f>'оценка 2018'!J121</f>
        <v>1</v>
      </c>
      <c r="G34" s="37" t="str">
        <f>IF(F34&lt;90%,"&lt;90%",IF(F34&lt;100%,"90%-100%","100% и&gt;"))</f>
        <v>100% и&gt;</v>
      </c>
      <c r="H34" s="37" t="str">
        <f>IF(G34="&lt;90%","не выполнено",IF(G34="90%-100%","в целом выполнено","выполнено"))</f>
        <v>выполнено</v>
      </c>
      <c r="I34" s="42">
        <f>'оценка 2018'!K115</f>
        <v>1</v>
      </c>
      <c r="J34" s="37" t="str">
        <f>IF(I34&lt;90%,"&lt;90%",IF(I34&lt;100%,"90%-100%","100% и&gt;"))</f>
        <v>100% и&gt;</v>
      </c>
      <c r="K34" s="37" t="str">
        <f>IF(J34="&lt;90%","не выполнено",IF(J34="90%-100%","в целом выполнено","выполнено"))</f>
        <v>выполнено</v>
      </c>
    </row>
    <row r="35" spans="1:11" s="53" customFormat="1" ht="13.2" x14ac:dyDescent="0.3">
      <c r="A35" s="41" t="s">
        <v>86</v>
      </c>
      <c r="B35" s="43" t="s">
        <v>118</v>
      </c>
      <c r="C35" s="42">
        <f>'оценка 2018'!J122</f>
        <v>1</v>
      </c>
      <c r="D35" s="37" t="str">
        <f>IF(C35&lt;90%,"&lt;90%",IF(C35&lt;100%,"90%-100%","100% и&gt;"))</f>
        <v>100% и&gt;</v>
      </c>
      <c r="E35" s="37" t="str">
        <f>IF(D35="&lt;90%","не выполнено",IF(D35="90%-100%","в целом выполнено","выполнено"))</f>
        <v>выполнено</v>
      </c>
      <c r="F35" s="42">
        <f>'оценка 2018'!J126</f>
        <v>1</v>
      </c>
      <c r="G35" s="37" t="str">
        <f>IF(F35&lt;90%,"&lt;90%",IF(F35&lt;100%,"90%-100%","100% и&gt;"))</f>
        <v>100% и&gt;</v>
      </c>
      <c r="H35" s="37" t="str">
        <f>IF(G35="&lt;90%","не выполнено",IF(G35="90%-100%","в целом выполнено","выполнено"))</f>
        <v>выполнено</v>
      </c>
      <c r="I35" s="42">
        <f>'оценка 2018'!K122</f>
        <v>1</v>
      </c>
      <c r="J35" s="37" t="str">
        <f>IF(I35&lt;90%,"&lt;90%",IF(I35&lt;100%,"90%-100%","100% и&gt;"))</f>
        <v>100% и&gt;</v>
      </c>
      <c r="K35" s="37" t="str">
        <f>IF(J35="&lt;90%","не выполнено",IF(J35="90%-100%","в целом выполнено","выполнено"))</f>
        <v>выполнено</v>
      </c>
    </row>
    <row r="36" spans="1:11" s="53" customFormat="1" ht="13.2" hidden="1" x14ac:dyDescent="0.3">
      <c r="A36" s="41" t="s">
        <v>87</v>
      </c>
      <c r="B36" s="43" t="s">
        <v>73</v>
      </c>
      <c r="C36" s="42"/>
      <c r="D36" s="37"/>
      <c r="E36" s="37"/>
      <c r="F36" s="42"/>
      <c r="G36" s="37"/>
      <c r="H36" s="37"/>
      <c r="I36" s="42"/>
      <c r="J36" s="37"/>
      <c r="K36" s="37"/>
    </row>
    <row r="37" spans="1:11" s="51" customFormat="1" ht="15.6" x14ac:dyDescent="0.3">
      <c r="A37" s="34" t="s">
        <v>88</v>
      </c>
      <c r="B37" s="35" t="s">
        <v>26</v>
      </c>
      <c r="C37" s="36">
        <f>MIN(C39:C40)</f>
        <v>1</v>
      </c>
      <c r="D37" s="37" t="str">
        <f>IF(C37&lt;90%,"&lt;90%",IF(C37&lt;100%,"90%-100%","100% и&gt;"))</f>
        <v>100% и&gt;</v>
      </c>
      <c r="E37" s="37" t="str">
        <f>IF(D37="&lt;90%","не выполнено",IF(D37="90%-100%","в целом выполнено","выполнено"))</f>
        <v>выполнено</v>
      </c>
      <c r="F37" s="36">
        <f>MIN(F39:F40)</f>
        <v>1</v>
      </c>
      <c r="G37" s="37" t="str">
        <f>IF(F37&lt;90%,"&lt;90%",IF(F37&lt;100%,"90%-100%","100% и&gt;"))</f>
        <v>100% и&gt;</v>
      </c>
      <c r="H37" s="37" t="str">
        <f>IF(G37="&lt;90%","не выполнено",IF(G37="90%-100%","в целом выполнено","выполнено"))</f>
        <v>выполнено</v>
      </c>
      <c r="I37" s="36">
        <f>MIN(I39:I40)</f>
        <v>1</v>
      </c>
      <c r="J37" s="37" t="str">
        <f>IF(I37&lt;90%,"&lt;90%",IF(I37&lt;100%,"90%-100%","100% и&gt;"))</f>
        <v>100% и&gt;</v>
      </c>
      <c r="K37" s="37" t="str">
        <f>IF(J37="&lt;90%","не выполнено",IF(J37="90%-100%","в целом выполнено","выполнено"))</f>
        <v>выполнено</v>
      </c>
    </row>
    <row r="38" spans="1:11" s="52" customFormat="1" ht="11.25" customHeight="1" x14ac:dyDescent="0.3">
      <c r="A38" s="38"/>
      <c r="B38" s="56" t="s">
        <v>63</v>
      </c>
      <c r="C38" s="39"/>
      <c r="D38" s="40"/>
      <c r="E38" s="40"/>
      <c r="F38" s="39"/>
      <c r="G38" s="40"/>
      <c r="H38" s="40"/>
      <c r="I38" s="39"/>
      <c r="J38" s="40"/>
      <c r="K38" s="40"/>
    </row>
    <row r="39" spans="1:11" s="53" customFormat="1" ht="13.2" x14ac:dyDescent="0.3">
      <c r="A39" s="41" t="s">
        <v>89</v>
      </c>
      <c r="B39" s="43" t="s">
        <v>117</v>
      </c>
      <c r="C39" s="42">
        <f>'оценка 2018'!J127</f>
        <v>1</v>
      </c>
      <c r="D39" s="37" t="str">
        <f>IF(C39&lt;90%,"&lt;90%",IF(C39&lt;100%,"90%-100%","100% и&gt;"))</f>
        <v>100% и&gt;</v>
      </c>
      <c r="E39" s="37" t="str">
        <f>IF(D39="&lt;90%","не выполнено",IF(D39="90%-100%","в целом выполнено","выполнено"))</f>
        <v>выполнено</v>
      </c>
      <c r="F39" s="42">
        <f>'оценка 2018'!J133</f>
        <v>1</v>
      </c>
      <c r="G39" s="37" t="str">
        <f>IF(F39&lt;90%,"&lt;90%",IF(F39&lt;100%,"90%-100%","100% и&gt;"))</f>
        <v>100% и&gt;</v>
      </c>
      <c r="H39" s="37" t="str">
        <f>IF(G39="&lt;90%","не выполнено",IF(G39="90%-100%","в целом выполнено","выполнено"))</f>
        <v>выполнено</v>
      </c>
      <c r="I39" s="42">
        <f>'оценка 2018'!K127</f>
        <v>1</v>
      </c>
      <c r="J39" s="37" t="str">
        <f>IF(I39&lt;90%,"&lt;90%",IF(I39&lt;100%,"90%-100%","100% и&gt;"))</f>
        <v>100% и&gt;</v>
      </c>
      <c r="K39" s="37" t="str">
        <f>IF(J39="&lt;90%","не выполнено",IF(J39="90%-100%","в целом выполнено","выполнено"))</f>
        <v>выполнено</v>
      </c>
    </row>
    <row r="40" spans="1:11" s="53" customFormat="1" ht="13.2" x14ac:dyDescent="0.3">
      <c r="A40" s="41" t="s">
        <v>90</v>
      </c>
      <c r="B40" s="43" t="s">
        <v>118</v>
      </c>
      <c r="C40" s="42">
        <f>'оценка 2018'!J134</f>
        <v>1</v>
      </c>
      <c r="D40" s="37" t="str">
        <f>IF(C40&lt;90%,"&lt;90%",IF(C40&lt;100%,"90%-100%","100% и&gt;"))</f>
        <v>100% и&gt;</v>
      </c>
      <c r="E40" s="37" t="str">
        <f>IF(D40="&lt;90%","не выполнено",IF(D40="90%-100%","в целом выполнено","выполнено"))</f>
        <v>выполнено</v>
      </c>
      <c r="F40" s="42">
        <f>'оценка 2018'!J138</f>
        <v>1</v>
      </c>
      <c r="G40" s="37" t="str">
        <f>IF(F40&lt;90%,"&lt;90%",IF(F40&lt;100%,"90%-100%","100% и&gt;"))</f>
        <v>100% и&gt;</v>
      </c>
      <c r="H40" s="37" t="str">
        <f>IF(G40="&lt;90%","не выполнено",IF(G40="90%-100%","в целом выполнено","выполнено"))</f>
        <v>выполнено</v>
      </c>
      <c r="I40" s="42">
        <f>'оценка 2018'!K134</f>
        <v>1</v>
      </c>
      <c r="J40" s="37" t="str">
        <f>IF(I40&lt;90%,"&lt;90%",IF(I40&lt;100%,"90%-100%","100% и&gt;"))</f>
        <v>100% и&gt;</v>
      </c>
      <c r="K40" s="37" t="str">
        <f>IF(J40="&lt;90%","не выполнено",IF(J40="90%-100%","в целом выполнено","выполнено"))</f>
        <v>выполнено</v>
      </c>
    </row>
    <row r="41" spans="1:11" s="53" customFormat="1" ht="13.2" hidden="1" x14ac:dyDescent="0.3">
      <c r="A41" s="41" t="s">
        <v>91</v>
      </c>
      <c r="B41" s="43" t="s">
        <v>73</v>
      </c>
      <c r="C41" s="42"/>
      <c r="D41" s="37"/>
      <c r="E41" s="37"/>
      <c r="F41" s="42"/>
      <c r="G41" s="37"/>
      <c r="H41" s="37"/>
      <c r="I41" s="42"/>
      <c r="J41" s="37"/>
      <c r="K41" s="37"/>
    </row>
    <row r="42" spans="1:11" s="51" customFormat="1" ht="15.6" x14ac:dyDescent="0.3">
      <c r="A42" s="34" t="s">
        <v>92</v>
      </c>
      <c r="B42" s="35" t="s">
        <v>25</v>
      </c>
      <c r="C42" s="36">
        <f>MIN(C44:C45)</f>
        <v>1</v>
      </c>
      <c r="D42" s="37" t="str">
        <f>IF(C42&lt;90%,"&lt;90%",IF(C42&lt;100%,"90%-100%","100% и&gt;"))</f>
        <v>100% и&gt;</v>
      </c>
      <c r="E42" s="37" t="str">
        <f>IF(D42="&lt;90%","не выполнено",IF(D42="90%-100%","в целом выполнено","выполнено"))</f>
        <v>выполнено</v>
      </c>
      <c r="F42" s="36">
        <f>MIN(F44:F45)</f>
        <v>1</v>
      </c>
      <c r="G42" s="37" t="str">
        <f>IF(F42&lt;90%,"&lt;90%",IF(F42&lt;100%,"90%-100%","100% и&gt;"))</f>
        <v>100% и&gt;</v>
      </c>
      <c r="H42" s="37" t="str">
        <f>IF(G42="&lt;90%","не выполнено",IF(G42="90%-100%","в целом выполнено","выполнено"))</f>
        <v>выполнено</v>
      </c>
      <c r="I42" s="36">
        <f>MIN(I44:I45)</f>
        <v>1</v>
      </c>
      <c r="J42" s="37" t="str">
        <f>IF(I42&lt;90%,"&lt;90%",IF(I42&lt;100%,"90%-100%","100% и&gt;"))</f>
        <v>100% и&gt;</v>
      </c>
      <c r="K42" s="37" t="str">
        <f>IF(J42="&lt;90%","не выполнено",IF(J42="90%-100%","в целом выполнено","выполнено"))</f>
        <v>выполнено</v>
      </c>
    </row>
    <row r="43" spans="1:11" s="52" customFormat="1" ht="11.25" customHeight="1" x14ac:dyDescent="0.3">
      <c r="A43" s="38"/>
      <c r="B43" s="56" t="s">
        <v>63</v>
      </c>
      <c r="C43" s="39"/>
      <c r="D43" s="40"/>
      <c r="E43" s="40"/>
      <c r="F43" s="39"/>
      <c r="G43" s="40"/>
      <c r="H43" s="40"/>
      <c r="I43" s="39"/>
      <c r="J43" s="40"/>
      <c r="K43" s="40"/>
    </row>
    <row r="44" spans="1:11" s="53" customFormat="1" ht="13.2" x14ac:dyDescent="0.3">
      <c r="A44" s="41" t="s">
        <v>93</v>
      </c>
      <c r="B44" s="43" t="s">
        <v>117</v>
      </c>
      <c r="C44" s="42">
        <f>'оценка 2018'!J139</f>
        <v>1</v>
      </c>
      <c r="D44" s="37" t="str">
        <f>IF(C44&lt;90%,"&lt;90%",IF(C44&lt;100%,"90%-100%","100% и&gt;"))</f>
        <v>100% и&gt;</v>
      </c>
      <c r="E44" s="37" t="str">
        <f>IF(D44="&lt;90%","не выполнено",IF(D44="90%-100%","в целом выполнено","выполнено"))</f>
        <v>выполнено</v>
      </c>
      <c r="F44" s="42">
        <f>'оценка 2018'!J145</f>
        <v>1</v>
      </c>
      <c r="G44" s="37" t="str">
        <f>IF(F44&lt;90%,"&lt;90%",IF(F44&lt;100%,"90%-100%","100% и&gt;"))</f>
        <v>100% и&gt;</v>
      </c>
      <c r="H44" s="37" t="str">
        <f>IF(G44="&lt;90%","не выполнено",IF(G44="90%-100%","в целом выполнено","выполнено"))</f>
        <v>выполнено</v>
      </c>
      <c r="I44" s="42">
        <f>'оценка 2018'!K139</f>
        <v>1</v>
      </c>
      <c r="J44" s="37" t="str">
        <f>IF(I44&lt;90%,"&lt;90%",IF(I44&lt;100%,"90%-100%","100% и&gt;"))</f>
        <v>100% и&gt;</v>
      </c>
      <c r="K44" s="37" t="str">
        <f>IF(J44="&lt;90%","не выполнено",IF(J44="90%-100%","в целом выполнено","выполнено"))</f>
        <v>выполнено</v>
      </c>
    </row>
    <row r="45" spans="1:11" s="53" customFormat="1" ht="13.2" x14ac:dyDescent="0.3">
      <c r="A45" s="41" t="s">
        <v>94</v>
      </c>
      <c r="B45" s="43" t="s">
        <v>118</v>
      </c>
      <c r="C45" s="42">
        <f>'оценка 2018'!J146</f>
        <v>1</v>
      </c>
      <c r="D45" s="37" t="str">
        <f>IF(C45&lt;90%,"&lt;90%",IF(C45&lt;100%,"90%-100%","100% и&gt;"))</f>
        <v>100% и&gt;</v>
      </c>
      <c r="E45" s="37" t="str">
        <f>IF(D45="&lt;90%","не выполнено",IF(D45="90%-100%","в целом выполнено","выполнено"))</f>
        <v>выполнено</v>
      </c>
      <c r="F45" s="42">
        <f>'оценка 2018'!J150</f>
        <v>1</v>
      </c>
      <c r="G45" s="37" t="str">
        <f>IF(F45&lt;90%,"&lt;90%",IF(F45&lt;100%,"90%-100%","100% и&gt;"))</f>
        <v>100% и&gt;</v>
      </c>
      <c r="H45" s="37" t="str">
        <f>IF(G45="&lt;90%","не выполнено",IF(G45="90%-100%","в целом выполнено","выполнено"))</f>
        <v>выполнено</v>
      </c>
      <c r="I45" s="42">
        <f>'оценка 2018'!K146</f>
        <v>1</v>
      </c>
      <c r="J45" s="37" t="str">
        <f>IF(I45&lt;90%,"&lt;90%",IF(I45&lt;100%,"90%-100%","100% и&gt;"))</f>
        <v>100% и&gt;</v>
      </c>
      <c r="K45" s="37" t="str">
        <f>IF(J45="&lt;90%","не выполнено",IF(J45="90%-100%","в целом выполнено","выполнено"))</f>
        <v>выполнено</v>
      </c>
    </row>
    <row r="46" spans="1:11" s="53" customFormat="1" ht="13.2" hidden="1" x14ac:dyDescent="0.3">
      <c r="A46" s="41" t="s">
        <v>95</v>
      </c>
      <c r="B46" s="43" t="s">
        <v>73</v>
      </c>
      <c r="C46" s="42"/>
      <c r="D46" s="37"/>
      <c r="E46" s="37"/>
      <c r="F46" s="42"/>
      <c r="G46" s="37"/>
      <c r="H46" s="37"/>
      <c r="I46" s="42"/>
      <c r="J46" s="37"/>
      <c r="K46" s="37"/>
    </row>
    <row r="47" spans="1:11" s="51" customFormat="1" ht="15.6" x14ac:dyDescent="0.3">
      <c r="A47" s="34" t="s">
        <v>96</v>
      </c>
      <c r="B47" s="35" t="s">
        <v>24</v>
      </c>
      <c r="C47" s="36">
        <f>MIN(C49:C50)</f>
        <v>1</v>
      </c>
      <c r="D47" s="37" t="str">
        <f>IF(C47&lt;90%,"&lt;90%",IF(C47&lt;100%,"90%-100%","100% и&gt;"))</f>
        <v>100% и&gt;</v>
      </c>
      <c r="E47" s="37" t="str">
        <f>IF(D47="&lt;90%","не выполнено",IF(D47="90%-100%","в целом выполнено","выполнено"))</f>
        <v>выполнено</v>
      </c>
      <c r="F47" s="36">
        <f>MIN(F49:F50)</f>
        <v>1</v>
      </c>
      <c r="G47" s="37" t="str">
        <f>IF(F47&lt;90%,"&lt;90%",IF(F47&lt;100%,"90%-100%","100% и&gt;"))</f>
        <v>100% и&gt;</v>
      </c>
      <c r="H47" s="37" t="str">
        <f>IF(G47="&lt;90%","не выполнено",IF(G47="90%-100%","в целом выполнено","выполнено"))</f>
        <v>выполнено</v>
      </c>
      <c r="I47" s="36">
        <f>MIN(I49:I50)</f>
        <v>1</v>
      </c>
      <c r="J47" s="37" t="str">
        <f>IF(I47&lt;90%,"&lt;90%",IF(I47&lt;100%,"90%-100%","100% и&gt;"))</f>
        <v>100% и&gt;</v>
      </c>
      <c r="K47" s="37" t="str">
        <f>IF(J47="&lt;90%","не выполнено",IF(J47="90%-100%","в целом выполнено","выполнено"))</f>
        <v>выполнено</v>
      </c>
    </row>
    <row r="48" spans="1:11" s="52" customFormat="1" ht="11.25" customHeight="1" x14ac:dyDescent="0.3">
      <c r="A48" s="38"/>
      <c r="B48" s="56" t="s">
        <v>63</v>
      </c>
      <c r="C48" s="39"/>
      <c r="D48" s="40"/>
      <c r="E48" s="40"/>
      <c r="F48" s="39"/>
      <c r="G48" s="40"/>
      <c r="H48" s="40"/>
      <c r="I48" s="39"/>
      <c r="J48" s="40"/>
      <c r="K48" s="40"/>
    </row>
    <row r="49" spans="1:11" s="53" customFormat="1" ht="13.2" x14ac:dyDescent="0.3">
      <c r="A49" s="41" t="s">
        <v>97</v>
      </c>
      <c r="B49" s="43" t="s">
        <v>117</v>
      </c>
      <c r="C49" s="42">
        <f>'оценка 2018'!J151</f>
        <v>1</v>
      </c>
      <c r="D49" s="37" t="str">
        <f>IF(C49&lt;90%,"&lt;90%",IF(C49&lt;100%,"90%-100%","100% и&gt;"))</f>
        <v>100% и&gt;</v>
      </c>
      <c r="E49" s="37" t="str">
        <f>IF(D49="&lt;90%","не выполнено",IF(D49="90%-100%","в целом выполнено","выполнено"))</f>
        <v>выполнено</v>
      </c>
      <c r="F49" s="42">
        <f>'оценка 2018'!J157</f>
        <v>1</v>
      </c>
      <c r="G49" s="37" t="str">
        <f>IF(F49&lt;90%,"&lt;90%",IF(F49&lt;100%,"90%-100%","100% и&gt;"))</f>
        <v>100% и&gt;</v>
      </c>
      <c r="H49" s="37" t="str">
        <f>IF(G49="&lt;90%","не выполнено",IF(G49="90%-100%","в целом выполнено","выполнено"))</f>
        <v>выполнено</v>
      </c>
      <c r="I49" s="42">
        <f>'оценка 2018'!K151</f>
        <v>1</v>
      </c>
      <c r="J49" s="37" t="str">
        <f>IF(I49&lt;90%,"&lt;90%",IF(I49&lt;100%,"90%-100%","100% и&gt;"))</f>
        <v>100% и&gt;</v>
      </c>
      <c r="K49" s="37" t="str">
        <f>IF(J49="&lt;90%","не выполнено",IF(J49="90%-100%","в целом выполнено","выполнено"))</f>
        <v>выполнено</v>
      </c>
    </row>
    <row r="50" spans="1:11" s="53" customFormat="1" ht="13.2" x14ac:dyDescent="0.3">
      <c r="A50" s="41" t="s">
        <v>98</v>
      </c>
      <c r="B50" s="43" t="s">
        <v>118</v>
      </c>
      <c r="C50" s="42">
        <f>'оценка 2018'!J158</f>
        <v>1</v>
      </c>
      <c r="D50" s="37" t="str">
        <f>IF(C50&lt;90%,"&lt;90%",IF(C50&lt;100%,"90%-100%","100% и&gt;"))</f>
        <v>100% и&gt;</v>
      </c>
      <c r="E50" s="37" t="str">
        <f>IF(D50="&lt;90%","не выполнено",IF(D50="90%-100%","в целом выполнено","выполнено"))</f>
        <v>выполнено</v>
      </c>
      <c r="F50" s="42">
        <f>'оценка 2018'!J162</f>
        <v>1</v>
      </c>
      <c r="G50" s="37" t="str">
        <f>IF(F50&lt;90%,"&lt;90%",IF(F50&lt;100%,"90%-100%","100% и&gt;"))</f>
        <v>100% и&gt;</v>
      </c>
      <c r="H50" s="37" t="str">
        <f>IF(G50="&lt;90%","не выполнено",IF(G50="90%-100%","в целом выполнено","выполнено"))</f>
        <v>выполнено</v>
      </c>
      <c r="I50" s="42">
        <f>'оценка 2018'!K158</f>
        <v>1</v>
      </c>
      <c r="J50" s="37" t="str">
        <f>IF(I50&lt;90%,"&lt;90%",IF(I50&lt;100%,"90%-100%","100% и&gt;"))</f>
        <v>100% и&gt;</v>
      </c>
      <c r="K50" s="37" t="str">
        <f>IF(J50="&lt;90%","не выполнено",IF(J50="90%-100%","в целом выполнено","выполнено"))</f>
        <v>выполнено</v>
      </c>
    </row>
    <row r="51" spans="1:11" s="53" customFormat="1" ht="13.2" hidden="1" x14ac:dyDescent="0.3">
      <c r="A51" s="41" t="s">
        <v>99</v>
      </c>
      <c r="B51" s="43" t="s">
        <v>73</v>
      </c>
      <c r="C51" s="42"/>
      <c r="D51" s="37"/>
      <c r="E51" s="37"/>
      <c r="F51" s="42"/>
      <c r="G51" s="37"/>
      <c r="H51" s="37"/>
      <c r="I51" s="42"/>
      <c r="J51" s="37"/>
      <c r="K51" s="37"/>
    </row>
    <row r="52" spans="1:11" s="51" customFormat="1" ht="15.6" x14ac:dyDescent="0.3">
      <c r="A52" s="34" t="s">
        <v>100</v>
      </c>
      <c r="B52" s="35" t="s">
        <v>22</v>
      </c>
      <c r="C52" s="36">
        <f t="shared" ref="C52:J52" si="0">C54</f>
        <v>1</v>
      </c>
      <c r="D52" s="37" t="str">
        <f t="shared" si="0"/>
        <v>100% и&gt;</v>
      </c>
      <c r="E52" s="37" t="str">
        <f>IF(D52="&lt;90%","не выполнено",IF(D52="90%-100%","в целом выполнено","выполнено"))</f>
        <v>выполнено</v>
      </c>
      <c r="F52" s="36">
        <f t="shared" si="0"/>
        <v>1</v>
      </c>
      <c r="G52" s="37" t="str">
        <f>G54</f>
        <v>100% и&gt;</v>
      </c>
      <c r="H52" s="37" t="str">
        <f>IF(G52="&lt;90%","не выполнено",IF(G52="90%-100%","в целом выполнено","выполнено"))</f>
        <v>выполнено</v>
      </c>
      <c r="I52" s="36">
        <f t="shared" si="0"/>
        <v>1</v>
      </c>
      <c r="J52" s="37" t="str">
        <f t="shared" si="0"/>
        <v>100% и&gt;</v>
      </c>
      <c r="K52" s="37" t="str">
        <f>IF(J52="&lt;90%","не выполнено",IF(J52="90%-100%","в целом выполнено","выполнено"))</f>
        <v>выполнено</v>
      </c>
    </row>
    <row r="53" spans="1:11" s="52" customFormat="1" ht="11.25" customHeight="1" x14ac:dyDescent="0.3">
      <c r="A53" s="38"/>
      <c r="B53" s="56" t="s">
        <v>63</v>
      </c>
      <c r="C53" s="39"/>
      <c r="D53" s="40"/>
      <c r="E53" s="40"/>
      <c r="F53" s="39"/>
      <c r="G53" s="40"/>
      <c r="H53" s="40"/>
      <c r="I53" s="39"/>
      <c r="J53" s="40"/>
      <c r="K53" s="40"/>
    </row>
    <row r="54" spans="1:11" s="53" customFormat="1" ht="13.2" x14ac:dyDescent="0.3">
      <c r="A54" s="41" t="s">
        <v>101</v>
      </c>
      <c r="B54" s="43" t="s">
        <v>117</v>
      </c>
      <c r="C54" s="42">
        <f>'оценка 2018'!J34</f>
        <v>1</v>
      </c>
      <c r="D54" s="37" t="str">
        <f>IF(C54&lt;90%,"&lt;90%",IF(C54&lt;100%,"90%-100%","100% и&gt;"))</f>
        <v>100% и&gt;</v>
      </c>
      <c r="E54" s="37" t="str">
        <f>IF(D54="&lt;90%","не выполнено",IF(D54="90%-100%","в целом выполнено","выполнено"))</f>
        <v>выполнено</v>
      </c>
      <c r="F54" s="42">
        <f>'оценка 2018'!J40</f>
        <v>1</v>
      </c>
      <c r="G54" s="37" t="str">
        <f>IF(F54&lt;90%,"&lt;90%",IF(F54&lt;100%,"90%-100%","100% и&gt;"))</f>
        <v>100% и&gt;</v>
      </c>
      <c r="H54" s="37" t="str">
        <f>IF(G54="&lt;90%","не выполнено",IF(G54="90%-100%","в целом выполнено","выполнено"))</f>
        <v>выполнено</v>
      </c>
      <c r="I54" s="42">
        <f>'оценка 2018'!K34</f>
        <v>1</v>
      </c>
      <c r="J54" s="37" t="str">
        <f>IF(I54&lt;90%,"&lt;90%",IF(I54&lt;100%,"90%-100%","100% и&gt;"))</f>
        <v>100% и&gt;</v>
      </c>
      <c r="K54" s="37" t="str">
        <f>IF(J54="&lt;90%","не выполнено",IF(J54="90%-100%","в целом выполнено","выполнено"))</f>
        <v>выполнено</v>
      </c>
    </row>
    <row r="55" spans="1:11" s="53" customFormat="1" ht="13.2" hidden="1" x14ac:dyDescent="0.3">
      <c r="A55" s="41" t="s">
        <v>102</v>
      </c>
      <c r="B55" s="43" t="s">
        <v>71</v>
      </c>
      <c r="C55" s="42"/>
      <c r="D55" s="37"/>
      <c r="E55" s="37"/>
      <c r="F55" s="42"/>
      <c r="G55" s="37"/>
      <c r="H55" s="37"/>
      <c r="I55" s="42"/>
      <c r="J55" s="37"/>
      <c r="K55" s="37"/>
    </row>
    <row r="56" spans="1:11" s="53" customFormat="1" ht="13.2" hidden="1" x14ac:dyDescent="0.3">
      <c r="A56" s="41" t="s">
        <v>103</v>
      </c>
      <c r="B56" s="43" t="s">
        <v>73</v>
      </c>
      <c r="C56" s="42"/>
      <c r="D56" s="37"/>
      <c r="E56" s="37"/>
      <c r="F56" s="42"/>
      <c r="G56" s="37"/>
      <c r="H56" s="37"/>
      <c r="I56" s="42"/>
      <c r="J56" s="37"/>
      <c r="K56" s="37"/>
    </row>
    <row r="57" spans="1:11" s="51" customFormat="1" ht="15.6" x14ac:dyDescent="0.3">
      <c r="A57" s="34" t="s">
        <v>104</v>
      </c>
      <c r="B57" s="35" t="s">
        <v>23</v>
      </c>
      <c r="C57" s="36">
        <f t="shared" ref="C57:J57" si="1">C59</f>
        <v>1</v>
      </c>
      <c r="D57" s="37" t="str">
        <f t="shared" si="1"/>
        <v>100% и&gt;</v>
      </c>
      <c r="E57" s="37" t="str">
        <f>IF(D57="&lt;90%","не выполнено",IF(D57="90%-100%","в целом выполнено","выполнено"))</f>
        <v>выполнено</v>
      </c>
      <c r="F57" s="36">
        <f t="shared" si="1"/>
        <v>1</v>
      </c>
      <c r="G57" s="37" t="str">
        <f>G59</f>
        <v>100% и&gt;</v>
      </c>
      <c r="H57" s="37" t="str">
        <f>IF(G57="&lt;90%","не выполнено",IF(G57="90%-100%","в целом выполнено","выполнено"))</f>
        <v>выполнено</v>
      </c>
      <c r="I57" s="36">
        <f t="shared" si="1"/>
        <v>1</v>
      </c>
      <c r="J57" s="37" t="str">
        <f t="shared" si="1"/>
        <v>100% и&gt;</v>
      </c>
      <c r="K57" s="37" t="str">
        <f>IF(J57="&lt;90%","не выполнено",IF(J57="90%-100%","в целом выполнено","выполнено"))</f>
        <v>выполнено</v>
      </c>
    </row>
    <row r="58" spans="1:11" s="52" customFormat="1" ht="11.25" customHeight="1" x14ac:dyDescent="0.3">
      <c r="A58" s="38"/>
      <c r="B58" s="56" t="s">
        <v>63</v>
      </c>
      <c r="C58" s="39"/>
      <c r="D58" s="40"/>
      <c r="E58" s="40"/>
      <c r="F58" s="39"/>
      <c r="G58" s="40"/>
      <c r="H58" s="40"/>
      <c r="I58" s="39"/>
      <c r="J58" s="40"/>
      <c r="K58" s="40"/>
    </row>
    <row r="59" spans="1:11" s="53" customFormat="1" ht="13.2" x14ac:dyDescent="0.3">
      <c r="A59" s="41" t="s">
        <v>105</v>
      </c>
      <c r="B59" s="43" t="s">
        <v>117</v>
      </c>
      <c r="C59" s="42">
        <f>'оценка 2018'!J41</f>
        <v>1</v>
      </c>
      <c r="D59" s="37" t="str">
        <f>IF(C59&lt;90%,"&lt;90%",IF(C59&lt;100%,"90%-100%","100% и&gt;"))</f>
        <v>100% и&gt;</v>
      </c>
      <c r="E59" s="37" t="str">
        <f>IF(D59="&lt;90%","не выполнено",IF(D59="90%-100%","в целом выполнено","выполнено"))</f>
        <v>выполнено</v>
      </c>
      <c r="F59" s="42">
        <f>'оценка 2018'!J47</f>
        <v>1</v>
      </c>
      <c r="G59" s="37" t="str">
        <f>IF(F59&lt;90%,"&lt;90%",IF(F59&lt;100%,"90%-100%","100% и&gt;"))</f>
        <v>100% и&gt;</v>
      </c>
      <c r="H59" s="37" t="str">
        <f>IF(G59="&lt;90%","не выполнено",IF(G59="90%-100%","в целом выполнено","выполнено"))</f>
        <v>выполнено</v>
      </c>
      <c r="I59" s="42">
        <f>'оценка 2018'!K41</f>
        <v>1</v>
      </c>
      <c r="J59" s="37" t="str">
        <f>IF(I59&lt;90%,"&lt;90%",IF(I59&lt;100%,"90%-100%","100% и&gt;"))</f>
        <v>100% и&gt;</v>
      </c>
      <c r="K59" s="37" t="str">
        <f>IF(J59="&lt;90%","не выполнено",IF(J59="90%-100%","в целом выполнено","выполнено"))</f>
        <v>выполнено</v>
      </c>
    </row>
    <row r="60" spans="1:11" s="53" customFormat="1" ht="13.2" hidden="1" x14ac:dyDescent="0.3">
      <c r="A60" s="41" t="s">
        <v>106</v>
      </c>
      <c r="B60" s="43" t="s">
        <v>71</v>
      </c>
      <c r="C60" s="42"/>
      <c r="D60" s="37"/>
      <c r="E60" s="37"/>
      <c r="F60" s="42"/>
      <c r="G60" s="37"/>
      <c r="H60" s="37"/>
      <c r="I60" s="42"/>
      <c r="J60" s="37"/>
      <c r="K60" s="37"/>
    </row>
    <row r="61" spans="1:11" s="53" customFormat="1" ht="13.2" hidden="1" x14ac:dyDescent="0.3">
      <c r="A61" s="41" t="s">
        <v>107</v>
      </c>
      <c r="B61" s="43" t="s">
        <v>73</v>
      </c>
      <c r="C61" s="42"/>
      <c r="D61" s="37"/>
      <c r="E61" s="37"/>
      <c r="F61" s="42"/>
      <c r="G61" s="37"/>
      <c r="H61" s="37"/>
      <c r="I61" s="42"/>
      <c r="J61" s="37"/>
      <c r="K61" s="37"/>
    </row>
    <row r="62" spans="1:11" s="51" customFormat="1" ht="15.6" x14ac:dyDescent="0.3">
      <c r="A62" s="34" t="s">
        <v>108</v>
      </c>
      <c r="B62" s="35" t="s">
        <v>31</v>
      </c>
      <c r="C62" s="36">
        <f>MIN(C64:C65)</f>
        <v>1</v>
      </c>
      <c r="D62" s="37" t="str">
        <f>IF(C62&lt;90%,"&lt;90%",IF(C62&lt;100%,"90%-100%","100% и&gt;"))</f>
        <v>100% и&gt;</v>
      </c>
      <c r="E62" s="37" t="str">
        <f>IF(D62="&lt;90%","не выполнено",IF(D62="90%-100%","в целом выполнено","выполнено"))</f>
        <v>выполнено</v>
      </c>
      <c r="F62" s="36">
        <f>MIN(F64:F65)</f>
        <v>1</v>
      </c>
      <c r="G62" s="37" t="str">
        <f>IF(F62&lt;90%,"&lt;90%",IF(F62&lt;100%,"90%-100%","100% и&gt;"))</f>
        <v>100% и&gt;</v>
      </c>
      <c r="H62" s="37" t="str">
        <f>IF(G62="&lt;90%","не выполнено",IF(G62="90%-100%","в целом выполнено","выполнено"))</f>
        <v>выполнено</v>
      </c>
      <c r="I62" s="36">
        <f>MIN(I64:I65)</f>
        <v>1</v>
      </c>
      <c r="J62" s="37" t="str">
        <f>IF(I62&lt;90%,"&lt;90%",IF(I62&lt;100%,"90%-100%","100% и&gt;"))</f>
        <v>100% и&gt;</v>
      </c>
      <c r="K62" s="37" t="str">
        <f>IF(J62="&lt;90%","не выполнено",IF(J62="90%-100%","в целом выполнено","выполнено"))</f>
        <v>выполнено</v>
      </c>
    </row>
    <row r="63" spans="1:11" s="52" customFormat="1" ht="11.25" customHeight="1" x14ac:dyDescent="0.3">
      <c r="A63" s="38"/>
      <c r="B63" s="56" t="s">
        <v>63</v>
      </c>
      <c r="C63" s="39"/>
      <c r="D63" s="40"/>
      <c r="E63" s="40"/>
      <c r="F63" s="39"/>
      <c r="G63" s="40"/>
      <c r="H63" s="40"/>
      <c r="I63" s="39"/>
      <c r="J63" s="40"/>
      <c r="K63" s="40"/>
    </row>
    <row r="64" spans="1:11" s="53" customFormat="1" ht="13.2" x14ac:dyDescent="0.3">
      <c r="A64" s="41" t="s">
        <v>109</v>
      </c>
      <c r="B64" s="43" t="s">
        <v>117</v>
      </c>
      <c r="C64" s="42">
        <f>'оценка 2018'!J55</f>
        <v>1</v>
      </c>
      <c r="D64" s="37" t="str">
        <f>IF(C64&lt;90%,"&lt;90%",IF(C64&lt;100%,"90%-100%","100% и&gt;"))</f>
        <v>100% и&gt;</v>
      </c>
      <c r="E64" s="37" t="str">
        <f>IF(D64="&lt;90%","не выполнено",IF(D64="90%-100%","в целом выполнено","выполнено"))</f>
        <v>выполнено</v>
      </c>
      <c r="F64" s="42">
        <f>'оценка 2018'!J61</f>
        <v>1</v>
      </c>
      <c r="G64" s="37" t="str">
        <f>IF(F64&lt;90%,"&lt;90%",IF(F64&lt;100%,"90%-100%","100% и&gt;"))</f>
        <v>100% и&gt;</v>
      </c>
      <c r="H64" s="37" t="str">
        <f>IF(G64="&lt;90%","не выполнено",IF(G64="90%-100%","в целом выполнено","выполнено"))</f>
        <v>выполнено</v>
      </c>
      <c r="I64" s="42">
        <f>'оценка 2018'!K55</f>
        <v>1</v>
      </c>
      <c r="J64" s="37" t="str">
        <f>IF(I64&lt;90%,"&lt;90%",IF(I64&lt;100%,"90%-100%","100% и&gt;"))</f>
        <v>100% и&gt;</v>
      </c>
      <c r="K64" s="37" t="str">
        <f>IF(J64="&lt;90%","не выполнено",IF(J64="90%-100%","в целом выполнено","выполнено"))</f>
        <v>выполнено</v>
      </c>
    </row>
    <row r="65" spans="1:11" s="53" customFormat="1" ht="13.2" x14ac:dyDescent="0.3">
      <c r="A65" s="41" t="s">
        <v>110</v>
      </c>
      <c r="B65" s="43" t="s">
        <v>71</v>
      </c>
      <c r="C65" s="42">
        <f>'оценка 2018'!J62</f>
        <v>1</v>
      </c>
      <c r="D65" s="37" t="str">
        <f>IF(C65&lt;90%,"&lt;90%",IF(C65&lt;100%,"90%-100%","100% и&gt;"))</f>
        <v>100% и&gt;</v>
      </c>
      <c r="E65" s="37" t="str">
        <f>IF(D65="&lt;90%","не выполнено",IF(D65="90%-100%","в целом выполнено","выполнено"))</f>
        <v>выполнено</v>
      </c>
      <c r="F65" s="42">
        <f>'оценка 2018'!J66</f>
        <v>1</v>
      </c>
      <c r="G65" s="37" t="str">
        <f>IF(F65&lt;90%,"&lt;90%",IF(F65&lt;100%,"90%-100%","100% и&gt;"))</f>
        <v>100% и&gt;</v>
      </c>
      <c r="H65" s="37" t="str">
        <f>IF(G65="&lt;90%","не выполнено",IF(G65="90%-100%","в целом выполнено","выполнено"))</f>
        <v>выполнено</v>
      </c>
      <c r="I65" s="42">
        <f>'оценка 2018'!K62</f>
        <v>1</v>
      </c>
      <c r="J65" s="37" t="str">
        <f>IF(I65&lt;90%,"&lt;90%",IF(I65&lt;100%,"90%-100%","100% и&gt;"))</f>
        <v>100% и&gt;</v>
      </c>
      <c r="K65" s="37" t="str">
        <f>IF(J65="&lt;90%","не выполнено",IF(J65="90%-100%","в целом выполнено","выполнено"))</f>
        <v>выполнено</v>
      </c>
    </row>
    <row r="66" spans="1:11" s="53" customFormat="1" ht="13.2" hidden="1" x14ac:dyDescent="0.3">
      <c r="A66" s="41" t="s">
        <v>111</v>
      </c>
      <c r="B66" s="43" t="s">
        <v>73</v>
      </c>
      <c r="C66" s="42"/>
      <c r="D66" s="37"/>
      <c r="E66" s="37"/>
      <c r="F66" s="42"/>
      <c r="G66" s="37" t="str">
        <f>IF(F66&lt;90%,"&lt;90%",IF(F66&lt;100%,"90%-100%","100% и&gt;"))</f>
        <v>&lt;90%</v>
      </c>
      <c r="H66" s="37" t="str">
        <f>IF(G66="&lt;90%","не выполнено",IF(G66="90%-100%","в целом выполнено","выполнено"))</f>
        <v>не выполнено</v>
      </c>
      <c r="I66" s="42"/>
      <c r="J66" s="37"/>
      <c r="K66" s="37"/>
    </row>
    <row r="67" spans="1:11" s="51" customFormat="1" ht="15.6" x14ac:dyDescent="0.3">
      <c r="A67" s="34" t="s">
        <v>112</v>
      </c>
      <c r="B67" s="35" t="s">
        <v>32</v>
      </c>
      <c r="C67" s="36">
        <f t="shared" ref="C67:J67" si="2">C69</f>
        <v>1</v>
      </c>
      <c r="D67" s="37" t="str">
        <f t="shared" si="2"/>
        <v>100% и&gt;</v>
      </c>
      <c r="E67" s="37" t="str">
        <f>IF(D67="&lt;90%","не выполнено",IF(D67="90%-100%","в целом выполнено","выполнено"))</f>
        <v>выполнено</v>
      </c>
      <c r="F67" s="36">
        <f t="shared" si="2"/>
        <v>1</v>
      </c>
      <c r="G67" s="37" t="str">
        <f>G69</f>
        <v>100% и&gt;</v>
      </c>
      <c r="H67" s="37" t="str">
        <f>IF(G67="&lt;90%","не выполнено",IF(G67="90%-100%","в целом выполнено","выполнено"))</f>
        <v>выполнено</v>
      </c>
      <c r="I67" s="36">
        <f t="shared" si="2"/>
        <v>1</v>
      </c>
      <c r="J67" s="37" t="str">
        <f t="shared" si="2"/>
        <v>100% и&gt;</v>
      </c>
      <c r="K67" s="37" t="str">
        <f>IF(J67="&lt;90%","не выполнено",IF(J67="90%-100%","в целом выполнено","выполнено"))</f>
        <v>выполнено</v>
      </c>
    </row>
    <row r="68" spans="1:11" s="52" customFormat="1" ht="11.25" customHeight="1" x14ac:dyDescent="0.3">
      <c r="A68" s="38"/>
      <c r="B68" s="56" t="s">
        <v>63</v>
      </c>
      <c r="C68" s="39"/>
      <c r="D68" s="40"/>
      <c r="E68" s="40"/>
      <c r="F68" s="39"/>
      <c r="G68" s="40"/>
      <c r="H68" s="40"/>
      <c r="I68" s="39"/>
      <c r="J68" s="40"/>
      <c r="K68" s="40"/>
    </row>
    <row r="69" spans="1:11" s="53" customFormat="1" ht="13.2" x14ac:dyDescent="0.3">
      <c r="A69" s="41" t="s">
        <v>113</v>
      </c>
      <c r="B69" s="43" t="s">
        <v>117</v>
      </c>
      <c r="C69" s="42">
        <f>'оценка 2018'!J48</f>
        <v>1</v>
      </c>
      <c r="D69" s="37" t="str">
        <f>IF(C69&lt;90%,"&lt;90%",IF(C69&lt;100%,"90%-100%","100% и&gt;"))</f>
        <v>100% и&gt;</v>
      </c>
      <c r="E69" s="37" t="str">
        <f>IF(D69="&lt;90%","не выполнено",IF(D69="90%-100%","в целом выполнено","выполнено"))</f>
        <v>выполнено</v>
      </c>
      <c r="F69" s="42">
        <f>'оценка 2018'!J54</f>
        <v>1</v>
      </c>
      <c r="G69" s="37" t="str">
        <f>IF(F69&lt;90%,"&lt;90%",IF(F69&lt;100%,"90%-100%","100% и&gt;"))</f>
        <v>100% и&gt;</v>
      </c>
      <c r="H69" s="37" t="str">
        <f>IF(G69="&lt;90%","не выполнено",IF(G69="90%-100%","в целом выполнено","выполнено"))</f>
        <v>выполнено</v>
      </c>
      <c r="I69" s="42">
        <f>'оценка 2018'!K48</f>
        <v>1</v>
      </c>
      <c r="J69" s="37" t="str">
        <f>IF(I69&lt;90%,"&lt;90%",IF(I69&lt;100%,"90%-100%","100% и&gt;"))</f>
        <v>100% и&gt;</v>
      </c>
      <c r="K69" s="37" t="str">
        <f>IF(J69="&lt;90%","не выполнено",IF(J69="90%-100%","в целом выполнено","выполнено"))</f>
        <v>выполнено</v>
      </c>
    </row>
    <row r="70" spans="1:11" s="53" customFormat="1" ht="13.2" hidden="1" x14ac:dyDescent="0.3">
      <c r="A70" s="41" t="s">
        <v>114</v>
      </c>
      <c r="B70" s="43" t="s">
        <v>71</v>
      </c>
      <c r="C70" s="42"/>
      <c r="D70" s="37"/>
      <c r="E70" s="37"/>
      <c r="F70" s="42"/>
      <c r="G70" s="37"/>
      <c r="H70" s="37"/>
      <c r="I70" s="42"/>
      <c r="J70" s="37"/>
      <c r="K70" s="37"/>
    </row>
    <row r="71" spans="1:11" s="53" customFormat="1" ht="13.2" hidden="1" x14ac:dyDescent="0.3">
      <c r="A71" s="41" t="s">
        <v>115</v>
      </c>
      <c r="B71" s="43" t="s">
        <v>73</v>
      </c>
      <c r="C71" s="42"/>
      <c r="D71" s="37"/>
      <c r="E71" s="37"/>
      <c r="F71" s="42"/>
      <c r="G71" s="37"/>
      <c r="H71" s="37"/>
      <c r="I71" s="42"/>
      <c r="J71" s="37"/>
      <c r="K71" s="37"/>
    </row>
    <row r="72" spans="1:11" s="44" customFormat="1" ht="13.2" x14ac:dyDescent="0.3"/>
    <row r="73" spans="1:11" s="44" customFormat="1" ht="13.2" x14ac:dyDescent="0.3"/>
    <row r="74" spans="1:11" s="46" customFormat="1" ht="15.6" x14ac:dyDescent="0.3">
      <c r="A74" s="45" t="s">
        <v>143</v>
      </c>
      <c r="E74" s="47"/>
      <c r="H74" s="47"/>
      <c r="K74" s="48" t="s">
        <v>144</v>
      </c>
    </row>
    <row r="75" spans="1:11" s="44" customFormat="1" ht="13.2" x14ac:dyDescent="0.3"/>
    <row r="76" spans="1:11" s="44" customFormat="1" ht="13.2" x14ac:dyDescent="0.3"/>
    <row r="77" spans="1:11" s="49" customFormat="1" ht="12" x14ac:dyDescent="0.3">
      <c r="A77" s="49" t="s">
        <v>1</v>
      </c>
    </row>
    <row r="78" spans="1:11" s="44" customFormat="1" ht="13.2" x14ac:dyDescent="0.3"/>
    <row r="79" spans="1:11" s="54" customFormat="1" ht="13.2" x14ac:dyDescent="0.25"/>
  </sheetData>
  <mergeCells count="6">
    <mergeCell ref="A1:K1"/>
    <mergeCell ref="A2:A3"/>
    <mergeCell ref="B2:B3"/>
    <mergeCell ref="C2:E2"/>
    <mergeCell ref="F2:H2"/>
    <mergeCell ref="I2:K2"/>
  </mergeCells>
  <pageMargins left="0.19685039370078741" right="0.19685039370078741" top="0.78740157480314965" bottom="0.78740157480314965" header="0.59055118110236227" footer="0.5905511811023622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A2" sqref="A2"/>
    </sheetView>
  </sheetViews>
  <sheetFormatPr defaultColWidth="9.109375" defaultRowHeight="14.4" x14ac:dyDescent="0.3"/>
  <cols>
    <col min="1" max="1" width="4.33203125" style="12" customWidth="1"/>
    <col min="2" max="2" width="58.44140625" style="12" customWidth="1"/>
    <col min="3" max="3" width="8.5546875" style="12" customWidth="1"/>
    <col min="4" max="4" width="10.44140625" style="12" customWidth="1"/>
    <col min="5" max="5" width="13.6640625" style="12" customWidth="1"/>
    <col min="6" max="6" width="8.109375" style="12" customWidth="1"/>
    <col min="7" max="7" width="10.109375" style="12" customWidth="1"/>
    <col min="8" max="8" width="13.6640625" style="12" customWidth="1"/>
    <col min="9" max="9" width="8.6640625" style="12" customWidth="1"/>
    <col min="10" max="10" width="10.44140625" style="12" customWidth="1"/>
    <col min="11" max="11" width="13.6640625" style="12" customWidth="1"/>
    <col min="12" max="16384" width="9.109375" style="12"/>
  </cols>
  <sheetData>
    <row r="1" spans="1:11" s="5" customFormat="1" ht="19.5" customHeight="1" x14ac:dyDescent="0.3">
      <c r="A1" s="106" t="s">
        <v>163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s="6" customFormat="1" ht="10.199999999999999" x14ac:dyDescent="0.3"/>
    <row r="3" spans="1:11" s="4" customFormat="1" ht="18.75" customHeight="1" x14ac:dyDescent="0.3">
      <c r="A3" s="104" t="s">
        <v>0</v>
      </c>
      <c r="B3" s="104" t="s">
        <v>8</v>
      </c>
      <c r="C3" s="101" t="s">
        <v>15</v>
      </c>
      <c r="D3" s="102"/>
      <c r="E3" s="103"/>
      <c r="F3" s="101" t="s">
        <v>16</v>
      </c>
      <c r="G3" s="102"/>
      <c r="H3" s="103"/>
      <c r="I3" s="101" t="s">
        <v>2</v>
      </c>
      <c r="J3" s="102"/>
      <c r="K3" s="103"/>
    </row>
    <row r="4" spans="1:11" s="1" customFormat="1" ht="27.75" customHeight="1" x14ac:dyDescent="0.3">
      <c r="A4" s="105"/>
      <c r="B4" s="105"/>
      <c r="C4" s="7" t="s">
        <v>11</v>
      </c>
      <c r="D4" s="8" t="s">
        <v>9</v>
      </c>
      <c r="E4" s="8" t="s">
        <v>10</v>
      </c>
      <c r="F4" s="7" t="s">
        <v>11</v>
      </c>
      <c r="G4" s="8" t="s">
        <v>9</v>
      </c>
      <c r="H4" s="8" t="s">
        <v>10</v>
      </c>
      <c r="I4" s="7" t="s">
        <v>11</v>
      </c>
      <c r="J4" s="8" t="s">
        <v>9</v>
      </c>
      <c r="K4" s="8" t="s">
        <v>10</v>
      </c>
    </row>
    <row r="5" spans="1:11" s="1" customFormat="1" ht="33.75" customHeight="1" x14ac:dyDescent="0.3">
      <c r="A5" s="2" t="s">
        <v>7</v>
      </c>
      <c r="B5" s="66" t="s">
        <v>123</v>
      </c>
      <c r="C5" s="3">
        <f>('оценка 2018'!J6+'оценка 2018'!J20)/2</f>
        <v>1</v>
      </c>
      <c r="D5" s="14" t="s">
        <v>53</v>
      </c>
      <c r="E5" s="15" t="s">
        <v>34</v>
      </c>
      <c r="F5" s="3">
        <f>('оценка 2018'!J12+'оценка 2018'!J26)/2</f>
        <v>1</v>
      </c>
      <c r="G5" s="14" t="s">
        <v>53</v>
      </c>
      <c r="H5" s="15" t="s">
        <v>34</v>
      </c>
      <c r="I5" s="3">
        <f>('оценка 2018'!K6+'оценка 2018'!K20)/2</f>
        <v>1</v>
      </c>
      <c r="J5" s="14" t="s">
        <v>53</v>
      </c>
      <c r="K5" s="15" t="s">
        <v>34</v>
      </c>
    </row>
    <row r="6" spans="1:11" s="1" customFormat="1" ht="33" customHeight="1" x14ac:dyDescent="0.3">
      <c r="A6" s="2" t="s">
        <v>3</v>
      </c>
      <c r="B6" s="66" t="s">
        <v>124</v>
      </c>
      <c r="C6" s="3">
        <f>('оценка 2018'!J13+'оценка 2018'!J27+'оценка 2018'!J34+'оценка 2018'!J41+'оценка 2018'!J55+'оценка 2018'!J48+'оценка 2018'!J67+'оценка 2018'!J79+'оценка 2018'!J91+'оценка 2018'!J103+'оценка 2018'!J115+'оценка 2018'!J127+'оценка 2018'!J139+'оценка 2018'!J151)/14</f>
        <v>1</v>
      </c>
      <c r="D6" s="14" t="s">
        <v>53</v>
      </c>
      <c r="E6" s="15" t="s">
        <v>34</v>
      </c>
      <c r="F6" s="3">
        <f>('оценка 2018'!J19+'оценка 2018'!J33+'оценка 2018'!J40+'оценка 2018'!J47+'оценка 2018'!J61+'оценка 2018'!J54+'оценка 2018'!J73+'оценка 2018'!J85+'оценка 2018'!J97+'оценка 2018'!J109+'оценка 2018'!J121+'оценка 2018'!J133+'оценка 2018'!J145+'оценка 2018'!J157)/14</f>
        <v>0.9963302752293578</v>
      </c>
      <c r="G6" s="14" t="s">
        <v>33</v>
      </c>
      <c r="H6" s="15" t="s">
        <v>14</v>
      </c>
      <c r="I6" s="3">
        <f>('оценка 2018'!K13+'оценка 2018'!K27+'оценка 2018'!K34+'оценка 2018'!K41+'оценка 2018'!K55+'оценка 2018'!K48+'оценка 2018'!K67+'оценка 2018'!K79+'оценка 2018'!K91+'оценка 2018'!K103+'оценка 2018'!K115+'оценка 2018'!K127+'оценка 2018'!K139+'оценка 2018'!K151)/14</f>
        <v>0.99816513761467895</v>
      </c>
      <c r="J6" s="14" t="s">
        <v>33</v>
      </c>
      <c r="K6" s="15" t="s">
        <v>14</v>
      </c>
    </row>
    <row r="7" spans="1:11" s="1" customFormat="1" ht="31.5" customHeight="1" x14ac:dyDescent="0.3">
      <c r="A7" s="2" t="s">
        <v>4</v>
      </c>
      <c r="B7" s="66" t="s">
        <v>125</v>
      </c>
      <c r="C7" s="3">
        <f>('оценка 2018'!J74+'оценка 2018'!J86+'оценка 2018'!J98+'оценка 2018'!J110+'оценка 2018'!J122+'оценка 2018'!J134+'оценка 2018'!J146+'оценка 2018'!J158)/8</f>
        <v>1</v>
      </c>
      <c r="D7" s="14" t="s">
        <v>53</v>
      </c>
      <c r="E7" s="15" t="s">
        <v>34</v>
      </c>
      <c r="F7" s="3">
        <f>('оценка 2018'!J78+'оценка 2018'!J90+'оценка 2018'!J102+'оценка 2018'!J114+'оценка 2018'!J126+'оценка 2018'!J138+'оценка 2018'!J150+'оценка 2018'!J162)/8</f>
        <v>1</v>
      </c>
      <c r="G7" s="14" t="s">
        <v>53</v>
      </c>
      <c r="H7" s="15" t="s">
        <v>34</v>
      </c>
      <c r="I7" s="3">
        <f>('оценка 2018'!K74+'оценка 2018'!K86+'оценка 2018'!K98+'оценка 2018'!K110+'оценка 2018'!K122+'оценка 2018'!K134+'оценка 2018'!K146+'оценка 2018'!K158)/8</f>
        <v>1</v>
      </c>
      <c r="J7" s="14" t="s">
        <v>53</v>
      </c>
      <c r="K7" s="15" t="s">
        <v>34</v>
      </c>
    </row>
    <row r="8" spans="1:11" s="1" customFormat="1" ht="85.5" hidden="1" customHeight="1" x14ac:dyDescent="0.3">
      <c r="A8" s="2" t="s">
        <v>5</v>
      </c>
      <c r="B8" s="13" t="s">
        <v>20</v>
      </c>
      <c r="C8" s="3" t="e">
        <f>#REF!</f>
        <v>#REF!</v>
      </c>
      <c r="D8" s="14" t="s">
        <v>12</v>
      </c>
      <c r="E8" s="15" t="s">
        <v>13</v>
      </c>
      <c r="F8" s="3" t="e">
        <f>#REF!</f>
        <v>#REF!</v>
      </c>
      <c r="G8" s="14" t="s">
        <v>12</v>
      </c>
      <c r="H8" s="15" t="s">
        <v>13</v>
      </c>
      <c r="I8" s="3" t="e">
        <f>#REF!</f>
        <v>#REF!</v>
      </c>
      <c r="J8" s="14" t="s">
        <v>12</v>
      </c>
      <c r="K8" s="15" t="s">
        <v>13</v>
      </c>
    </row>
    <row r="9" spans="1:11" s="4" customFormat="1" ht="13.8" hidden="1" x14ac:dyDescent="0.3">
      <c r="A9" s="2" t="s">
        <v>6</v>
      </c>
      <c r="B9" s="13" t="s">
        <v>17</v>
      </c>
      <c r="C9" s="3" t="e">
        <f>AVERAGE(C5:C8)</f>
        <v>#REF!</v>
      </c>
      <c r="D9" s="14" t="s">
        <v>12</v>
      </c>
      <c r="E9" s="15" t="s">
        <v>13</v>
      </c>
      <c r="F9" s="3" t="e">
        <f>AVERAGE(F5:F8)</f>
        <v>#REF!</v>
      </c>
      <c r="G9" s="14" t="e">
        <f>#REF!</f>
        <v>#REF!</v>
      </c>
      <c r="H9" s="15" t="s">
        <v>13</v>
      </c>
      <c r="I9" s="3" t="e">
        <f>AVERAGE(I5:I8)</f>
        <v>#REF!</v>
      </c>
      <c r="J9" s="14" t="s">
        <v>12</v>
      </c>
      <c r="K9" s="15" t="s">
        <v>13</v>
      </c>
    </row>
    <row r="10" spans="1:11" s="1" customFormat="1" ht="13.2" x14ac:dyDescent="0.3"/>
    <row r="11" spans="1:11" s="1" customFormat="1" ht="13.2" x14ac:dyDescent="0.3"/>
    <row r="12" spans="1:11" s="5" customFormat="1" ht="15.6" x14ac:dyDescent="0.3">
      <c r="A12" s="45" t="s">
        <v>143</v>
      </c>
      <c r="E12" s="9"/>
      <c r="H12" s="9"/>
      <c r="K12" s="48" t="s">
        <v>144</v>
      </c>
    </row>
    <row r="13" spans="1:11" s="1" customFormat="1" ht="13.2" x14ac:dyDescent="0.3"/>
    <row r="14" spans="1:11" s="1" customFormat="1" ht="13.2" x14ac:dyDescent="0.3"/>
    <row r="15" spans="1:11" s="1" customFormat="1" ht="13.2" x14ac:dyDescent="0.3"/>
    <row r="16" spans="1:11" s="1" customFormat="1" ht="13.2" x14ac:dyDescent="0.3"/>
    <row r="17" spans="1:1" s="10" customFormat="1" ht="12" x14ac:dyDescent="0.3">
      <c r="A17" s="10" t="s">
        <v>1</v>
      </c>
    </row>
    <row r="18" spans="1:1" s="10" customFormat="1" ht="12" x14ac:dyDescent="0.3"/>
    <row r="19" spans="1:1" s="11" customFormat="1" ht="13.2" x14ac:dyDescent="0.25"/>
  </sheetData>
  <mergeCells count="6">
    <mergeCell ref="I3:K3"/>
    <mergeCell ref="C3:E3"/>
    <mergeCell ref="F3:H3"/>
    <mergeCell ref="A3:A4"/>
    <mergeCell ref="B3:B4"/>
    <mergeCell ref="A1:K1"/>
  </mergeCells>
  <pageMargins left="0.39370078740157483" right="0.39370078740157483" top="1.1811023622047245" bottom="0.98425196850393704" header="0.59055118110236227" footer="0.59055118110236227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CC50F0-0EDA-449F-A5B7-45DF04F8ACAB}"/>
</file>

<file path=customXml/itemProps2.xml><?xml version="1.0" encoding="utf-8"?>
<ds:datastoreItem xmlns:ds="http://schemas.openxmlformats.org/officeDocument/2006/customXml" ds:itemID="{C2BF6603-8368-47AB-92D5-29183664CF15}"/>
</file>

<file path=customXml/itemProps3.xml><?xml version="1.0" encoding="utf-8"?>
<ds:datastoreItem xmlns:ds="http://schemas.openxmlformats.org/officeDocument/2006/customXml" ds:itemID="{95AA9F43-FD5A-4C46-974D-C442B67E5D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оценка 2018</vt:lpstr>
      <vt:lpstr>в разрезе МУ</vt:lpstr>
      <vt:lpstr>в разрезе услуг</vt:lpstr>
      <vt:lpstr>'в разрезе МУ'!Заголовки_для_печати</vt:lpstr>
      <vt:lpstr>'в разрезе услуг'!Заголовки_для_печати</vt:lpstr>
      <vt:lpstr>'оценка 2018'!Заголовки_для_печати</vt:lpstr>
      <vt:lpstr>'оценка 2018'!Область_печати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Объедков Владимир Владимирович</cp:lastModifiedBy>
  <cp:lastPrinted>2019-02-12T10:06:32Z</cp:lastPrinted>
  <dcterms:created xsi:type="dcterms:W3CDTF">2010-05-16T11:05:00Z</dcterms:created>
  <dcterms:modified xsi:type="dcterms:W3CDTF">2019-02-17T10:01:53Z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