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946" activeTab="0"/>
  </bookViews>
  <sheets>
    <sheet name="Прил. 1-2 ПО" sheetId="1" r:id="rId1"/>
    <sheet name="норм. ХВС для ПО (4-3) " sheetId="2" r:id="rId2"/>
    <sheet name=" ХВС плата для ПО (4-4)" sheetId="3" r:id="rId3"/>
    <sheet name="норм водоотв  ПО (5-3)" sheetId="4" r:id="rId4"/>
    <sheet name=" водоотв.  плата ПО (5-4 )" sheetId="5" r:id="rId5"/>
    <sheet name="пример  к 7-1" sheetId="6" r:id="rId6"/>
    <sheet name="Эл.7-1" sheetId="7" r:id="rId7"/>
    <sheet name="7-2" sheetId="8" r:id="rId8"/>
    <sheet name="Газ (8) " sheetId="9" r:id="rId9"/>
    <sheet name="Тв т (9)" sheetId="10" r:id="rId10"/>
  </sheets>
  <definedNames>
    <definedName name="_xlnm.Print_Area" localSheetId="2">' ХВС плата для ПО (4-4)'!$A$1:$U$21</definedName>
    <definedName name="_xlnm.Print_Area" localSheetId="1">'норм. ХВС для ПО (4-3) '!$A$1:$T$28</definedName>
    <definedName name="_xlnm.Print_Area" localSheetId="0">'Прил. 1-2 ПО'!$A$1:$AB$55</definedName>
  </definedNames>
  <calcPr fullCalcOnLoad="1"/>
</workbook>
</file>

<file path=xl/sharedStrings.xml><?xml version="1.0" encoding="utf-8"?>
<sst xmlns="http://schemas.openxmlformats.org/spreadsheetml/2006/main" count="1093" uniqueCount="315">
  <si>
    <t>Единицы измерения</t>
  </si>
  <si>
    <t>Средневзвешенный норматив потребления услуг</t>
  </si>
  <si>
    <t>ед.изм.</t>
  </si>
  <si>
    <t>норматив</t>
  </si>
  <si>
    <t>руб.</t>
  </si>
  <si>
    <t>%</t>
  </si>
  <si>
    <t>тыс.кв.м</t>
  </si>
  <si>
    <t>чел.</t>
  </si>
  <si>
    <t>тыс.руб.</t>
  </si>
  <si>
    <t>2.1.</t>
  </si>
  <si>
    <t>х</t>
  </si>
  <si>
    <t>2.2.</t>
  </si>
  <si>
    <t>м3/чел./мес.</t>
  </si>
  <si>
    <t>Холодное водоснабжение</t>
  </si>
  <si>
    <t>4.1.</t>
  </si>
  <si>
    <t>4.2.</t>
  </si>
  <si>
    <t>Электроснабжение</t>
  </si>
  <si>
    <t>6.1.</t>
  </si>
  <si>
    <t>в домах с электроплитами</t>
  </si>
  <si>
    <t>квт.час</t>
  </si>
  <si>
    <t>квт.час/чел./мес.</t>
  </si>
  <si>
    <t>тыс.квт.час</t>
  </si>
  <si>
    <t>6.2.</t>
  </si>
  <si>
    <t>в домах с газовыми плитами</t>
  </si>
  <si>
    <t>в домах с плитами на твердом топливе</t>
  </si>
  <si>
    <t>Газоснабжение</t>
  </si>
  <si>
    <t>кг/чел./мес.</t>
  </si>
  <si>
    <t>тыс.кг</t>
  </si>
  <si>
    <t>Итого</t>
  </si>
  <si>
    <t>и т.д.</t>
  </si>
  <si>
    <t>Ф.И.О. исполнителя, № телефона</t>
  </si>
  <si>
    <r>
      <t>м</t>
    </r>
    <r>
      <rPr>
        <vertAlign val="superscript"/>
        <sz val="9"/>
        <rFont val="Times New Roman Cyr"/>
        <family val="1"/>
      </rPr>
      <t>3</t>
    </r>
  </si>
  <si>
    <r>
      <t>тыс.м</t>
    </r>
    <r>
      <rPr>
        <vertAlign val="superscript"/>
        <sz val="9"/>
        <rFont val="Times New Roman Cyr"/>
        <family val="1"/>
      </rPr>
      <t>3</t>
    </r>
  </si>
  <si>
    <t>1.1.</t>
  </si>
  <si>
    <t>1.2.</t>
  </si>
  <si>
    <t>Водоотведение (канализация)</t>
  </si>
  <si>
    <t>Водоотведение (септик)</t>
  </si>
  <si>
    <t xml:space="preserve">Наименование </t>
  </si>
  <si>
    <t>Уровень оплаты  коммунальных услуг (гр.5 / гр.4 * 100)</t>
  </si>
  <si>
    <t>Уровень оплаты  коммунальных услуг (гр.16 / гр.15 * 100)</t>
  </si>
  <si>
    <t xml:space="preserve">Коэффициент роста цен </t>
  </si>
  <si>
    <t>№ 
п/п</t>
  </si>
  <si>
    <t>М.П.</t>
  </si>
  <si>
    <t>Наименование исполнителя КУ</t>
  </si>
  <si>
    <t>Базовый период (декабрь предыдущего календарного  года )</t>
  </si>
  <si>
    <t>Плата за коммунальные услуги граждан, проживающих в многоквартирных домах (жилых домах), в базовом периоде</t>
  </si>
  <si>
    <t xml:space="preserve">Площадь жилого помещения, используемая при расчетах платежей  за отопление (централизованное или печное)   в базовом периоде </t>
  </si>
  <si>
    <t xml:space="preserve">Численность граждан, зарегистрированных в жилом помещении, используемая при расчетах платежей за коммунальные услуги в базовом периоде </t>
  </si>
  <si>
    <t>при отсутствии общедомовых приборов учета</t>
  </si>
  <si>
    <t xml:space="preserve">Плата за коммунальные услуги граждан, проживающих 
в многоквартирных домах (жилых домах 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</si>
  <si>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</si>
  <si>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Текущий календарный год</t>
  </si>
  <si>
    <t>Сумма компенсации части платы граждан за коммунальные услуги (далее – компенсация)  исполнителям коммунальных услуг в  текущем  году (гр.24 - гр.25)</t>
  </si>
  <si>
    <t>при наличии  общедомовых приборов учета</t>
  </si>
  <si>
    <t>Плата за коммунальные услуги граждан, проживающих 
в многоквартирных домах (жилых домах )</t>
  </si>
  <si>
    <t>№ п/п</t>
  </si>
  <si>
    <t xml:space="preserve">Наименование ресурсоснабжающей организации </t>
  </si>
  <si>
    <t>Количество МКД и жилых домов</t>
  </si>
  <si>
    <t>Кол-во месяцев, принятых в расчет норматива</t>
  </si>
  <si>
    <t>мес.</t>
  </si>
  <si>
    <t>тыс.м2</t>
  </si>
  <si>
    <t>ФИО исполнителя</t>
  </si>
  <si>
    <t>телефон</t>
  </si>
  <si>
    <t>Наименование МО</t>
  </si>
  <si>
    <t>базовый период</t>
  </si>
  <si>
    <t>Уровень оплаты   (гр.5 / гр.4 * 100)</t>
  </si>
  <si>
    <t>Плата за коммунальные услуги граждан, проживающих в многоквартирных домах (жилых домах) учетом предельного (максимального)  индекса в текущем периоде</t>
  </si>
  <si>
    <t xml:space="preserve">Расчет средневзвешенного тарифа </t>
  </si>
  <si>
    <r>
      <t xml:space="preserve">  гр.8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</si>
  <si>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r>
      <t xml:space="preserve"> гр.9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</si>
  <si>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t xml:space="preserve">Уровень оплаты </t>
  </si>
  <si>
    <t>Наименование муниципального поселения</t>
  </si>
  <si>
    <t>Количество человек, пользующихся услугой</t>
  </si>
  <si>
    <t>Объем  потребления коммунальных услуг гражданам (гр.5*гр.6*гр.8/1000)</t>
  </si>
  <si>
    <t>Объем  потребления коммунальных услуг гражданам  (гр.10*гр.11*гр.13/1000)</t>
  </si>
  <si>
    <t>куб.м/чел./мес.</t>
  </si>
  <si>
    <t xml:space="preserve"> тыс. куб. м</t>
  </si>
  <si>
    <t>куб.м/чел.</t>
  </si>
  <si>
    <t xml:space="preserve">Итого </t>
  </si>
  <si>
    <t>Объем потребления коммунальных услуг гражданам (из приложения 4-1 гр.9 раздел 1)</t>
  </si>
  <si>
    <t>Объем потребления коммунальных услуг гражданам (из приложения 4-1 гр.14 раздел 1)</t>
  </si>
  <si>
    <t>Расчет средневзвешенного тарифа по исполнителю коммунальных услуг</t>
  </si>
  <si>
    <r>
      <t xml:space="preserve"> гр.14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гр.13</t>
    </r>
  </si>
  <si>
    <r>
      <t>гр.15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гр.13</t>
    </r>
  </si>
  <si>
    <t>Объем потребления коммунальных услуг гражданам (из приложения 4-1 гр.19 раздел 1)</t>
  </si>
  <si>
    <t>Объем потребления коммунальных услуг (гр.4*гр.5*гр.7/1000)</t>
  </si>
  <si>
    <t>Объем потребления коммунальных услуг(гр.9*гр.10*гр.12/1000)</t>
  </si>
  <si>
    <t>3А</t>
  </si>
  <si>
    <r>
      <t xml:space="preserve">  гр.14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</si>
  <si>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r>
      <t xml:space="preserve"> гр.15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</si>
  <si>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t>Объем потребления коммунальных услуг (гр.14*гр.15*гр.17/1000)</t>
  </si>
  <si>
    <r>
      <t xml:space="preserve"> гр.20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гр.19</t>
    </r>
  </si>
  <si>
    <r>
      <t>гр.21</t>
    </r>
    <r>
      <rPr>
        <b/>
        <sz val="10"/>
        <rFont val="Times New Roman Cyr"/>
        <family val="1"/>
      </rPr>
      <t>/</t>
    </r>
    <r>
      <rPr>
        <sz val="10"/>
        <rFont val="Times New Roman Cyr"/>
        <family val="1"/>
      </rPr>
      <t xml:space="preserve">  гр.19</t>
    </r>
  </si>
  <si>
    <r>
      <t>гр.21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гр.19</t>
    </r>
  </si>
  <si>
    <t>Уровень оплаты   (гр.17 / гр.16 * 100)</t>
  </si>
  <si>
    <t>Уровень оплаты   (гр.11 / гр.10 * 100)</t>
  </si>
  <si>
    <t>Наименование 
МО</t>
  </si>
  <si>
    <t>НаименованиеМО</t>
  </si>
  <si>
    <t xml:space="preserve">Наименование 
МО
</t>
  </si>
  <si>
    <t>2А</t>
  </si>
  <si>
    <t>кг/чел</t>
  </si>
  <si>
    <t>руб./кг</t>
  </si>
  <si>
    <t>Объем потребления коммунальных услуг  (гр.27*гр.28*гр.29)</t>
  </si>
  <si>
    <t>Норматив потребления газа</t>
  </si>
  <si>
    <t>Количество человек, пользующихся газом, всего</t>
  </si>
  <si>
    <t>Общая площадь жилых помещений, в которой проживают граждане, пользующиеся газом</t>
  </si>
  <si>
    <t>Уровень оплаты</t>
  </si>
  <si>
    <t>Объем потребления коммунальных услуг (гр.17*гр.18*гр.19)</t>
  </si>
  <si>
    <t>Объем потребления коммунальных услуг(гр.7*гр.8*гр.9)</t>
  </si>
  <si>
    <t>Норматив потребления газа в месяц</t>
  </si>
  <si>
    <t>Вид 
газоснабжения</t>
  </si>
  <si>
    <t>по ИПУ</t>
  </si>
  <si>
    <t>4а</t>
  </si>
  <si>
    <t>Действующий норматив  (показание ИПУ)</t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</si>
  <si>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 Cyr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</si>
  <si>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1"/>
      </rPr>
      <t>гр.5*гр.12)</t>
    </r>
  </si>
  <si>
    <r>
      <t>рассчитанная по ценам (тарифам) , установленным ресурсоснабжающей организации (</t>
    </r>
    <r>
      <rPr>
        <i/>
        <sz val="9"/>
        <rFont val="Times New Roman Cyr"/>
        <family val="1"/>
      </rPr>
      <t>гр.15*гр.23)</t>
    </r>
  </si>
  <si>
    <r>
      <t>с учетом  предельного (максимального)  индекса по расчетному размеру цены (тарифа) (</t>
    </r>
    <r>
      <rPr>
        <i/>
        <sz val="9"/>
        <rFont val="Times New Roman Cyr"/>
        <family val="1"/>
      </rPr>
      <t>гр.16*гр.23)</t>
    </r>
  </si>
  <si>
    <r>
      <t>с учетом утвержденной цены (тарифа), текущий год/базовый период</t>
    </r>
    <r>
      <rPr>
        <i/>
        <sz val="9"/>
        <rFont val="Times New Roman Cyr"/>
        <family val="1"/>
      </rPr>
      <t xml:space="preserve"> (гр.24/гр.13)</t>
    </r>
  </si>
  <si>
    <r>
      <t>с учетом  предельного индекса  по расчетному размеру цены (тарифа), текущий год/базовый период (</t>
    </r>
    <r>
      <rPr>
        <i/>
        <sz val="9"/>
        <rFont val="Times New Roman Cyr"/>
        <family val="1"/>
      </rPr>
      <t>гр.25/гр.14)</t>
    </r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</si>
  <si>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</si>
  <si>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на текущий год</t>
  </si>
  <si>
    <t>тыс. руб.</t>
  </si>
  <si>
    <t>куб.м.</t>
  </si>
  <si>
    <t>тн.</t>
  </si>
  <si>
    <t>тн./куб.м.</t>
  </si>
  <si>
    <t>1 куб.м дров</t>
  </si>
  <si>
    <t xml:space="preserve">1 тонны угля </t>
  </si>
  <si>
    <t>1 тонны угля с разреза</t>
  </si>
  <si>
    <t>дрова</t>
  </si>
  <si>
    <t xml:space="preserve">уголь </t>
  </si>
  <si>
    <t>Нормативное количество натурального топлива на 1 кв.м в год при норме 75,7 кг у.т.*</t>
  </si>
  <si>
    <t xml:space="preserve">Количество человек проживающих в домах с печным отоплением </t>
  </si>
  <si>
    <t>Общая площадь жилых домов с печным отоплением</t>
  </si>
  <si>
    <t xml:space="preserve">Количество человек, проживающих в домах с печным отоплением </t>
  </si>
  <si>
    <t>Нормативный  объем натурального топлива для граждан в базовом периоде</t>
  </si>
  <si>
    <t>Угольные разрезы</t>
  </si>
  <si>
    <t>Вид топлива (уголь, дрова)</t>
  </si>
  <si>
    <t xml:space="preserve">Жилые дома с печным отоплением </t>
  </si>
  <si>
    <t>4.3.</t>
  </si>
  <si>
    <t>Печное отопление</t>
  </si>
  <si>
    <t>уголь</t>
  </si>
  <si>
    <t>тн</t>
  </si>
  <si>
    <t>тн/кв.м/вмес</t>
  </si>
  <si>
    <t>тыс.тонн</t>
  </si>
  <si>
    <t>м3/кв.м/мес</t>
  </si>
  <si>
    <t>Форма 1-2</t>
  </si>
  <si>
    <t>объем  по отопл.(гр.8*гр.9*6 (4,5) мес.), ком.усл. (гр.8*гр.10*6 мес./1000)</t>
  </si>
  <si>
    <t>объем  по отопл.(гр.19*гр.20*6 (4,5) мес.), ком.усл. (гр.19*гр.21*6 мес./1000)</t>
  </si>
  <si>
    <t xml:space="preserve">Предельный  (максимальный )  индекс </t>
  </si>
  <si>
    <t>Форма  4-3</t>
  </si>
  <si>
    <t xml:space="preserve"> ___________________________________________( исполнитель коммунальных услуг), __________________________________________(муниципальное образование)</t>
  </si>
  <si>
    <t>Раздел 1. По многоквартирным и жилым домам  необорудованным общедомовыми приборами учета  соответствующего коммунального ресурса</t>
  </si>
  <si>
    <t>Общая площадь  жилых помещений, обеспеченных ХВС</t>
  </si>
  <si>
    <t>Количество зарегистрированных человек, пользующихся услугой</t>
  </si>
  <si>
    <t>Объем  потребления коммунальных услуг гражданам  (гр.15*гр.16*гр.18/1000)</t>
  </si>
  <si>
    <t>Форма  4-4</t>
  </si>
  <si>
    <t>___________________________________________( исполнитель коммунальных услуг), __________________________________________(муниципальное образование)</t>
  </si>
  <si>
    <t>Раздел 1. По многоквартирным и жилым домам  необорудованным общедомовыми приборами учета соответствующего коммунального ресурса</t>
  </si>
  <si>
    <t>Утвержденные цены (тарифы) с НДС</t>
  </si>
  <si>
    <t>Плата за коммунальные услуги граждан</t>
  </si>
  <si>
    <t>рассчитанная по ценам (тарифам), установленным ресурсоснабжающей организации  (гр.4*гр.7)</t>
  </si>
  <si>
    <t xml:space="preserve">  с учетом предельного индекса, используемого для начисления гражданам  платы  (гр.5*гр.7)</t>
  </si>
  <si>
    <t>рассчитанная по ценам (тарифам), установленным ресурсоснабжающей организации  (гр.10*гр.13)</t>
  </si>
  <si>
    <t>с учетом предельного индекса, используемого для начисления гражданам  платы 
 (гр.11*гр.13)</t>
  </si>
  <si>
    <t>рассчитанная по ценам (тарифам), установленным ресурсоснабжающей организации  (гр.16*гр.19)</t>
  </si>
  <si>
    <t>с учетом предельного индекса, используемого для начисления гражданам  платы 
 (гр.17*гр.19)</t>
  </si>
  <si>
    <t>Форма 5-3</t>
  </si>
  <si>
    <t>_________________________________________(исполнитель коммунальных услуг), ____________________________________(муниципальное образование)</t>
  </si>
  <si>
    <t>Действующие нормативы   (ГВС+ХВС)</t>
  </si>
  <si>
    <t>Общая площадь жилых помещений, на которой проживают граждане, пользующиеся услугой</t>
  </si>
  <si>
    <t>Количество зарегистрированных  человек, пользующихся услугой</t>
  </si>
  <si>
    <t>ИПУ (ГВС+ХВС)</t>
  </si>
  <si>
    <t>Форма  5-4</t>
  </si>
  <si>
    <t>Раздел 1. По многоквартирным и жилым домам необорудованным общедомовыми приборами учета соответствующего коммунального ресурса</t>
  </si>
  <si>
    <t xml:space="preserve">  с учетом предельного индекса, используемого для начисления гражданам  платы (гр.5*гр.7)</t>
  </si>
  <si>
    <t>Объем потребления коммунальных услуг (из приложения 5-1 гр.8 раздел 1)</t>
  </si>
  <si>
    <t>Объем потребления коммунальных услуг  (из приложения 5-1 гр.13 раздел 1)</t>
  </si>
  <si>
    <t>Объем потребления коммунальных услуг (из приложения 5-1 гр.18 раздел 1)</t>
  </si>
  <si>
    <t>ПРИМЕР РАСЧЕТА СРЕДНЕВЗВЕШЕННОГО НОРМАТИВА ПОТРЕБЛЕНИЯ ЭЛЕКТРОЭНЕРГИИ</t>
  </si>
  <si>
    <t>доля</t>
  </si>
  <si>
    <t>1.</t>
  </si>
  <si>
    <t>Общая площадь жилых помещений в целом по МО (статистика)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</si>
  <si>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</si>
  <si>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</si>
  <si>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</si>
  <si>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</si>
  <si>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</si>
  <si>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</si>
  <si>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</si>
  <si>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</si>
  <si>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человек</t>
  </si>
  <si>
    <t>в среднем на 1 человека</t>
  </si>
  <si>
    <t>кв.м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</si>
  <si>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</si>
  <si>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</si>
  <si>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</si>
  <si>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</si>
  <si>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</si>
  <si>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</si>
  <si>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</si>
  <si>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</si>
  <si>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</si>
  <si>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</si>
  <si>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</si>
  <si>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</si>
  <si>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</si>
  <si>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</si>
  <si>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</si>
  <si>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</si>
  <si>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</si>
  <si>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</si>
  <si>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</si>
  <si>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</si>
  <si>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</si>
  <si>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</si>
  <si>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</si>
  <si>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r>
      <t xml:space="preserve">Нормативы </t>
    </r>
    <r>
      <rPr>
        <b/>
        <u val="single"/>
        <sz val="10"/>
        <rFont val="Arial Cyr"/>
        <family val="0"/>
      </rPr>
      <t>в многоквартирных домах без лифта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(брать согласно типу жилищного фонда МО по закону края)</t>
    </r>
  </si>
  <si>
    <t>эл.плиты</t>
  </si>
  <si>
    <t>газ.плиты</t>
  </si>
  <si>
    <t>на тв.топливе</t>
  </si>
  <si>
    <t>1-комн.жилых помещениях (2 человека)</t>
  </si>
  <si>
    <t>кВтч на 1 человека в месяц</t>
  </si>
  <si>
    <t>2-комн.жилых помещениях (3 человека)</t>
  </si>
  <si>
    <t>3-комн.жилых помещениях (4 человека)</t>
  </si>
  <si>
    <t>4-комн.жилых помещениях (4 человека)</t>
  </si>
  <si>
    <t>8.</t>
  </si>
  <si>
    <r>
      <t xml:space="preserve">Расчет средневзвешенного норматива по МО </t>
    </r>
    <r>
      <rPr>
        <b/>
        <sz val="10"/>
        <color indexed="10"/>
        <rFont val="Arial Cyr"/>
        <family val="0"/>
      </rPr>
      <t>(для районов расчет делается по каждому поселению)</t>
    </r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</si>
  <si>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</si>
  <si>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</si>
  <si>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Годовой нормативный объем потребления электроэнергии тыс.кВтч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</si>
  <si>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</si>
  <si>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</si>
  <si>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</si>
  <si>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</si>
  <si>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</si>
  <si>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</si>
  <si>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</si>
  <si>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</si>
  <si>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</si>
  <si>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</si>
  <si>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по плитам на тв.топливе</t>
  </si>
  <si>
    <t>РАСЧЕТ СРЕДНЕВЗВЕШЕННОГО НОРМАТИВА ПОТРЕБЛЕНИЯ ЭЛЕКТРОЭНЕРГИИ</t>
  </si>
  <si>
    <t>(наименование города, района, сельсовета)</t>
  </si>
  <si>
    <r>
      <t xml:space="preserve">Расчет средневзвешенного норматива по МО </t>
    </r>
    <r>
      <rPr>
        <b/>
        <sz val="10"/>
        <color indexed="10"/>
        <rFont val="Times New Roman"/>
        <family val="1"/>
      </rPr>
      <t>(для районов расчет делается по каждому поселению)</t>
    </r>
  </si>
  <si>
    <t>Форма 7-2</t>
  </si>
  <si>
    <t>_______________________________________(исполнитель коммунальных услуг), по ______________________________________________(муниципальное образование)</t>
  </si>
  <si>
    <t>Степень санитарно-технического оборудования жилых домов</t>
  </si>
  <si>
    <t>Утвержденные цены (тарифы) с НДС, руб./кВтч</t>
  </si>
  <si>
    <t>Объем потребления электроэнергии, тыс.кВтч</t>
  </si>
  <si>
    <t xml:space="preserve">Плата за коммунальные услуги граждан, тыс. руб. </t>
  </si>
  <si>
    <t>Общая площадь жилищного фонда,
тыс. кв.м</t>
  </si>
  <si>
    <t xml:space="preserve">Всего
</t>
  </si>
  <si>
    <t>средневзвешенный  тариф 
гр18/гр.13</t>
  </si>
  <si>
    <t>при потреблении в пределах соц. нормы</t>
  </si>
  <si>
    <t>при потреблении сверх соц. нормы</t>
  </si>
  <si>
    <t xml:space="preserve">в пределах соц. нормы
</t>
  </si>
  <si>
    <t xml:space="preserve">сверх соц. нормы
</t>
  </si>
  <si>
    <t>дома, оборудованные электрическими плитами в установленном порядке</t>
  </si>
  <si>
    <t>дома,  оборудованные газовыми плитами и  плитами на твердом топливе, всего
в том числе:</t>
  </si>
  <si>
    <t>дома,  оборудованные газовыми  плитами</t>
  </si>
  <si>
    <t>дома,  оборудованные плитами на твердом топливе</t>
  </si>
  <si>
    <t>текущий период</t>
  </si>
  <si>
    <t>средневзвешенный тариф</t>
  </si>
  <si>
    <t>Примечание.</t>
  </si>
  <si>
    <t>СРЕДНЕВЗВЕШЕННАЯ ЦЕНА (ТАРИФ)</t>
  </si>
  <si>
    <t>гр.2=гр.18 / гр.13</t>
  </si>
  <si>
    <t>НОРМАТИВЫ</t>
  </si>
  <si>
    <t>* Если средневзвешенный норматив ниже установленных РЭК социальных норм, то в графах 6 и 8 ставится норматив.</t>
  </si>
  <si>
    <t>* Если средневзвешенный норматив ниже установленных РЭК социальных норм для одиноко проживающих, но выше для семей, состоящих из 2-х и более человек, то в графе 6 ставится социальная норма в размере 75 кВтч, а в графе 8 ставится норматив.</t>
  </si>
  <si>
    <t>Примеры.</t>
  </si>
  <si>
    <t>1) При средневзвешенном нормативе в размере 65 кВтч в графы 5,  6 и 8 ставится 65</t>
  </si>
  <si>
    <t>2) При средневзвешенном нормативе в размере 80 в графу 5 ставится 80, в графу 6 - 75, в графу 8 - 80.</t>
  </si>
  <si>
    <t>3) При средневзвешенном нормативе в размере 118 в графу 5 ставится 118, в графу 6 - 75, в графу 8 - 110.</t>
  </si>
  <si>
    <t>гр.7=гр.5-гр.6</t>
  </si>
  <si>
    <t>гр.9=гр.5-гр.8</t>
  </si>
  <si>
    <t>Форма  8</t>
  </si>
  <si>
    <t>Розничная цена на сжиженый  газ, реализуемый  населению</t>
  </si>
  <si>
    <t>рассчитанная по розничной цене на сжиженый  газ, реализуемый  населению (гр.3*гр.10)</t>
  </si>
  <si>
    <t xml:space="preserve">  с учетом предельного индекса, используемого для начисления гражданам  платы (гр.4*гр.10)</t>
  </si>
  <si>
    <t>рассчитанная по  розничной цене на сжиженый  газ, реализуемый  населению (гр.13*гр.20)</t>
  </si>
  <si>
    <t>с учетом предельного индекса, используемого для начисления гражданам  платы  (гр.14*гр.20)</t>
  </si>
  <si>
    <t>рассчитанная по  розничной цене на сжиженый  газ, реализуемый  населению (гр.23*гр.30)</t>
  </si>
  <si>
    <t>с учетом предельного индекса, используемого для начисления гражданам  платы (гр.24*гр.30)</t>
  </si>
  <si>
    <t>1. Сжиженый газ из групповых резервуарных установок</t>
  </si>
  <si>
    <t>Форма 9</t>
  </si>
  <si>
    <t>Нормативное количество натурального топлива на 1 кв.м  в месяц (при  норме 75,7 кг у.т.*в год)</t>
  </si>
  <si>
    <t>Утвержденные цены (тарифы) с НДС на топливо</t>
  </si>
  <si>
    <t xml:space="preserve">Плата граждан  за коммунальную услугу  в базовом периоде         </t>
  </si>
  <si>
    <t>Нормативный объем натурального топлива для граждан в текущем периоде</t>
  </si>
  <si>
    <t>Плата граждан  за коммунальную услугу  в текущем периоде</t>
  </si>
  <si>
    <t>Итого:</t>
  </si>
  <si>
    <t xml:space="preserve"> 1 полугодие </t>
  </si>
  <si>
    <t xml:space="preserve"> 2 полугодие</t>
  </si>
  <si>
    <t>2. Сжиженый газ в баллонах с доставкой до потребителя</t>
  </si>
  <si>
    <t>2.1. Сжиженый газ в баллонах без доставки до потребителя</t>
  </si>
  <si>
    <t>Подпись руководителя исполнителя коммунальных услуг</t>
  </si>
  <si>
    <t>Руководитель  исполнителя коммунальных услуг</t>
  </si>
  <si>
    <t>ВСЕГО  по  исполнителю коммунальных услуг</t>
  </si>
  <si>
    <t xml:space="preserve">ВСЕГО  по  исполнителю коммунальных услуг с учетом предельного  (максимального )  индекса </t>
  </si>
  <si>
    <r>
      <t xml:space="preserve">Расчет средневзвешенных нормативов и объемов потребления холодного водоснабжения для жилых помещений с </t>
    </r>
    <r>
      <rPr>
        <b/>
        <sz val="14"/>
        <rFont val="Times New Roman"/>
        <family val="1"/>
      </rPr>
      <t>печным отоплением</t>
    </r>
    <r>
      <rPr>
        <b/>
        <sz val="12"/>
        <rFont val="Times New Roman"/>
        <family val="1"/>
      </rPr>
      <t xml:space="preserve">   в 2018 году</t>
    </r>
  </si>
  <si>
    <t>2018 год  1 полугодие</t>
  </si>
  <si>
    <t>2018 год  2 полугодие</t>
  </si>
  <si>
    <r>
      <t>Расчет  платы граждан  по услуге   холодное водоснабжение  для жилых помещений</t>
    </r>
    <r>
      <rPr>
        <b/>
        <sz val="14"/>
        <rFont val="Times New Roman"/>
        <family val="1"/>
      </rPr>
      <t xml:space="preserve"> с  печным отоплением</t>
    </r>
    <r>
      <rPr>
        <b/>
        <sz val="12"/>
        <rFont val="Times New Roman"/>
        <family val="1"/>
      </rPr>
      <t xml:space="preserve"> в  2018 году </t>
    </r>
  </si>
  <si>
    <t xml:space="preserve">Расчет средневзвешенных нормативов и объемов потребления по  водоотведению для жилых помещений с  печным  отоплением  в   2018 году
</t>
  </si>
  <si>
    <t>Расчет  объема расходов граждан на оплату  по услуге  водоотведение  для жилых помещений с печным  отоплением в  2018 году</t>
  </si>
  <si>
    <t>Нормативы</t>
  </si>
  <si>
    <t>Расчет  платы граждан  за коммунальную услугу электроснабжение для домов с печным отоплением в  2018 году</t>
  </si>
  <si>
    <t>текущий период  2018 год 2 полугодие</t>
  </si>
  <si>
    <t>текущий период  2018 год 1 полугодие8</t>
  </si>
  <si>
    <t>Расчет  объема расходов граждан на оплату по услуге   газоснабжение  в многоквартирных домах (жилых домах )  с  печным отоплением в 2018 году</t>
  </si>
  <si>
    <t>Расчет  объема расходов граждан на оплату  по твердому топливу при наличии в домах печного отопления в   2018 году</t>
  </si>
  <si>
    <t>2018 год 1 полугодие</t>
  </si>
  <si>
    <t>2018 год 2 полугодие</t>
  </si>
  <si>
    <t xml:space="preserve">Предварительный расчет субсидии в целях возмещения недополученных доходов, возникающих в связи с применением предельного индекса при оказании коммунальных услуг с печным отоплением на 20____  год
 исполнитель коммунальных услуг  __________________________________________ городской округ (муниципальный район) 
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</si>
</sst>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#,##0.000"/>
    <numFmt numFmtId="179" formatCode="#,##0_ ;\-#,##0\ 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#,##0&quot;р.&quot;"/>
    <numFmt numFmtId="189" formatCode="0.0%"/>
    <numFmt numFmtId="190" formatCode="#,##0.0000"/>
    <numFmt numFmtId="191" formatCode="_-* #,##0.0000_р_._-;\-* #,##0.0000_р_._-;_-* &quot;-&quot;_р_._-;_-@_-"/>
    <numFmt numFmtId="192" formatCode="#,##0.0_ ;\-#,##0.0\ "/>
    <numFmt numFmtId="193" formatCode="_-* #,##0.0&quot;р.&quot;_-;\-* #,##0.0&quot;р.&quot;_-;_-* &quot;-&quot;?&quot;р.&quot;_-;_-@_-"/>
    <numFmt numFmtId="194" formatCode="_-* #,##0.0_р_._-;\-* #,##0.0_р_._-;_-* &quot;-&quot;?_р_.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dd\-mmm\-yy"/>
    <numFmt numFmtId="204" formatCode="_(* #,##0.0_);_(* \(#,##0.0\);_(* &quot;-&quot;_);_(@_)"/>
    <numFmt numFmtId="205" formatCode="_-* #,##0.00000_р_._-;\-* #,##0.00000_р_._-;_-* &quot;-&quot;_р_._-;_-@_-"/>
    <numFmt numFmtId="206" formatCode="0.000000000"/>
    <numFmt numFmtId="207" formatCode="#,##0_р_."/>
    <numFmt numFmtId="208" formatCode="0.E+00"/>
    <numFmt numFmtId="209" formatCode="d/m"/>
    <numFmt numFmtId="210" formatCode="0.0000000000"/>
    <numFmt numFmtId="211" formatCode="#,##0.0&quot;р.&quot;"/>
    <numFmt numFmtId="212" formatCode="#,##0.00&quot;р.&quot;"/>
    <numFmt numFmtId="213" formatCode="_-* #,##0.0_р_._-;\-* #,##0.0_р_._-;_-* &quot;-&quot;??_р_._-;_-@_-"/>
    <numFmt numFmtId="214" formatCode="_-* #,##0_р_._-;\-* #,##0_р_._-;_-* &quot;-&quot;??_р_._-;_-@_-"/>
    <numFmt numFmtId="215" formatCode="#,##0.00000"/>
    <numFmt numFmtId="216" formatCode="[$€-2]\ ###,000_);[Red]\([$€-2]\ ###,000\)"/>
    <numFmt numFmtId="217" formatCode="_-* #,##0.000_р_._-;\-* #,##0.000_р_._-;_-* &quot;-&quot;??_р_._-;_-@_-"/>
    <numFmt numFmtId="218" formatCode="_-* #,##0.0000_р_._-;\-* #,##0.0000_р_._-;_-* &quot;-&quot;??_р_._-;_-@_-"/>
    <numFmt numFmtId="219" formatCode="_-* #,##0.00000_р_._-;\-* #,##0.00000_р_._-;_-* &quot;-&quot;??_р_._-;_-@_-"/>
    <numFmt numFmtId="220" formatCode="_-* #,##0.000000_р_._-;\-* #,##0.000000_р_._-;_-* &quot;-&quot;??_р_._-;_-@_-"/>
    <numFmt numFmtId="221" formatCode="_-* #,##0.0000000_р_._-;\-* #,##0.0000000_р_._-;_-* &quot;-&quot;??_р_._-;_-@_-"/>
    <numFmt numFmtId="222" formatCode="[$-FC19]d\ mmmm\ yyyy\ &quot;г.&quot;"/>
    <numFmt numFmtId="223" formatCode="[$-F800]dddd\,\ mmmm\ dd\,\ yyyy"/>
  </numFmts>
  <fonts count="108">
    <font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4"/>
      <name val="Times New Roman CE"/>
      <family val="1"/>
    </font>
    <font>
      <sz val="7"/>
      <name val="Times New Roman CE"/>
      <family val="1"/>
    </font>
    <font>
      <sz val="7"/>
      <name val="Times New Roman Cyr"/>
      <family val="1"/>
    </font>
    <font>
      <sz val="7"/>
      <name val="Arial Cyr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vertAlign val="superscript"/>
      <sz val="9"/>
      <name val="Times New Roman Cyr"/>
      <family val="1"/>
    </font>
    <font>
      <sz val="9"/>
      <name val="Times New Roman Cyr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sz val="8"/>
      <name val="Times New Roman Cyr"/>
      <family val="1"/>
    </font>
    <font>
      <i/>
      <sz val="9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 Cyr"/>
      <family val="0"/>
    </font>
    <font>
      <b/>
      <sz val="14"/>
      <name val="Times New Roman CE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7.5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 CYR"/>
      <family val="0"/>
    </font>
    <font>
      <b/>
      <sz val="12"/>
      <name val="Times New Roman CE"/>
      <family val="1"/>
    </font>
    <font>
      <sz val="8"/>
      <name val="Times New Roman CYR"/>
      <family val="0"/>
    </font>
    <font>
      <sz val="7.5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4"/>
      <name val="Times New Roman"/>
      <family val="1"/>
    </font>
    <font>
      <b/>
      <u val="single"/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b/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8.5"/>
      <name val="Times New Roman Cyr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righ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right" vertical="center" wrapText="1"/>
    </xf>
    <xf numFmtId="178" fontId="11" fillId="0" borderId="12" xfId="0" applyNumberFormat="1" applyFont="1" applyFill="1" applyBorder="1" applyAlignment="1">
      <alignment horizontal="right" vertical="center" wrapText="1"/>
    </xf>
    <xf numFmtId="178" fontId="9" fillId="0" borderId="13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 horizontal="right" vertical="center" wrapText="1"/>
    </xf>
    <xf numFmtId="178" fontId="11" fillId="0" borderId="13" xfId="0" applyNumberFormat="1" applyFont="1" applyFill="1" applyBorder="1" applyAlignment="1">
      <alignment horizontal="right" vertical="center" wrapText="1"/>
    </xf>
    <xf numFmtId="178" fontId="11" fillId="0" borderId="13" xfId="0" applyNumberFormat="1" applyFont="1" applyFill="1" applyBorder="1" applyAlignment="1">
      <alignment horizontal="right" vertical="center" wrapText="1"/>
    </xf>
    <xf numFmtId="178" fontId="9" fillId="0" borderId="14" xfId="0" applyNumberFormat="1" applyFont="1" applyFill="1" applyBorder="1" applyAlignment="1">
      <alignment horizontal="left" vertical="center" wrapText="1"/>
    </xf>
    <xf numFmtId="215" fontId="12" fillId="0" borderId="12" xfId="0" applyNumberFormat="1" applyFont="1" applyFill="1" applyBorder="1" applyAlignment="1">
      <alignment horizontal="right" vertical="center" wrapText="1"/>
    </xf>
    <xf numFmtId="215" fontId="13" fillId="0" borderId="12" xfId="0" applyNumberFormat="1" applyFont="1" applyFill="1" applyBorder="1" applyAlignment="1">
      <alignment horizontal="right" vertical="center" wrapText="1"/>
    </xf>
    <xf numFmtId="186" fontId="11" fillId="0" borderId="12" xfId="0" applyNumberFormat="1" applyFont="1" applyFill="1" applyBorder="1" applyAlignment="1">
      <alignment horizontal="right" vertical="center" wrapText="1"/>
    </xf>
    <xf numFmtId="186" fontId="11" fillId="0" borderId="12" xfId="0" applyNumberFormat="1" applyFont="1" applyFill="1" applyBorder="1" applyAlignment="1">
      <alignment horizontal="center" vertical="center" wrapText="1"/>
    </xf>
    <xf numFmtId="186" fontId="9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/>
    </xf>
    <xf numFmtId="173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173" fontId="19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2" fontId="20" fillId="0" borderId="13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2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186" fontId="20" fillId="0" borderId="13" xfId="0" applyNumberFormat="1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86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13" xfId="0" applyFont="1" applyBorder="1" applyAlignment="1">
      <alignment/>
    </xf>
    <xf numFmtId="173" fontId="35" fillId="0" borderId="13" xfId="0" applyNumberFormat="1" applyFont="1" applyBorder="1" applyAlignment="1">
      <alignment vertical="center"/>
    </xf>
    <xf numFmtId="186" fontId="23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186" fontId="2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186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86" fontId="19" fillId="0" borderId="13" xfId="0" applyNumberFormat="1" applyFont="1" applyBorder="1" applyAlignment="1">
      <alignment horizontal="left"/>
    </xf>
    <xf numFmtId="173" fontId="35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/>
    </xf>
    <xf numFmtId="1" fontId="35" fillId="0" borderId="13" xfId="0" applyNumberFormat="1" applyFont="1" applyBorder="1" applyAlignment="1">
      <alignment/>
    </xf>
    <xf numFmtId="0" fontId="23" fillId="0" borderId="13" xfId="0" applyFont="1" applyBorder="1" applyAlignment="1">
      <alignment wrapText="1"/>
    </xf>
    <xf numFmtId="186" fontId="23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37" fillId="0" borderId="0" xfId="0" applyFont="1" applyFill="1" applyAlignment="1">
      <alignment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73" fontId="19" fillId="0" borderId="13" xfId="0" applyNumberFormat="1" applyFont="1" applyBorder="1" applyAlignment="1">
      <alignment horizontal="left"/>
    </xf>
    <xf numFmtId="173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left" vertical="top"/>
    </xf>
    <xf numFmtId="186" fontId="21" fillId="0" borderId="13" xfId="0" applyNumberFormat="1" applyFont="1" applyBorder="1" applyAlignment="1">
      <alignment horizontal="center" vertical="center" wrapText="1"/>
    </xf>
    <xf numFmtId="186" fontId="35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 wrapText="1"/>
    </xf>
    <xf numFmtId="0" fontId="40" fillId="0" borderId="10" xfId="0" applyFont="1" applyBorder="1" applyAlignment="1">
      <alignment/>
    </xf>
    <xf numFmtId="1" fontId="0" fillId="0" borderId="13" xfId="0" applyNumberFormat="1" applyFont="1" applyBorder="1" applyAlignment="1">
      <alignment/>
    </xf>
    <xf numFmtId="186" fontId="0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186" fontId="25" fillId="0" borderId="13" xfId="0" applyNumberFormat="1" applyFont="1" applyBorder="1" applyAlignment="1">
      <alignment/>
    </xf>
    <xf numFmtId="173" fontId="41" fillId="0" borderId="13" xfId="0" applyNumberFormat="1" applyFont="1" applyBorder="1" applyAlignment="1">
      <alignment/>
    </xf>
    <xf numFmtId="1" fontId="41" fillId="0" borderId="13" xfId="0" applyNumberFormat="1" applyFont="1" applyBorder="1" applyAlignment="1">
      <alignment/>
    </xf>
    <xf numFmtId="186" fontId="41" fillId="0" borderId="13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2" fillId="0" borderId="0" xfId="0" applyFont="1" applyFill="1" applyAlignment="1">
      <alignment horizontal="center" wrapText="1"/>
    </xf>
    <xf numFmtId="173" fontId="19" fillId="0" borderId="13" xfId="0" applyNumberFormat="1" applyFont="1" applyFill="1" applyBorder="1" applyAlignment="1">
      <alignment/>
    </xf>
    <xf numFmtId="186" fontId="3" fillId="0" borderId="13" xfId="0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1" fillId="34" borderId="13" xfId="0" applyFont="1" applyFill="1" applyBorder="1" applyAlignment="1">
      <alignment vertical="center" wrapText="1"/>
    </xf>
    <xf numFmtId="173" fontId="21" fillId="0" borderId="13" xfId="0" applyNumberFormat="1" applyFont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/>
    </xf>
    <xf numFmtId="173" fontId="21" fillId="0" borderId="13" xfId="0" applyNumberFormat="1" applyFont="1" applyBorder="1" applyAlignment="1">
      <alignment/>
    </xf>
    <xf numFmtId="186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13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0" fillId="0" borderId="13" xfId="0" applyNumberFormat="1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/>
    </xf>
    <xf numFmtId="173" fontId="20" fillId="0" borderId="13" xfId="0" applyNumberFormat="1" applyFont="1" applyBorder="1" applyAlignment="1">
      <alignment/>
    </xf>
    <xf numFmtId="186" fontId="20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Fill="1" applyBorder="1" applyAlignment="1">
      <alignment vertical="top" wrapText="1"/>
    </xf>
    <xf numFmtId="0" fontId="20" fillId="0" borderId="18" xfId="0" applyFont="1" applyBorder="1" applyAlignment="1">
      <alignment horizontal="center" vertical="top"/>
    </xf>
    <xf numFmtId="0" fontId="20" fillId="0" borderId="17" xfId="0" applyFont="1" applyBorder="1" applyAlignment="1">
      <alignment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6" fillId="34" borderId="11" xfId="0" applyFont="1" applyFill="1" applyBorder="1" applyAlignment="1">
      <alignment vertical="center" wrapText="1"/>
    </xf>
    <xf numFmtId="172" fontId="21" fillId="0" borderId="13" xfId="0" applyNumberFormat="1" applyFont="1" applyBorder="1" applyAlignment="1">
      <alignment/>
    </xf>
    <xf numFmtId="0" fontId="20" fillId="35" borderId="13" xfId="0" applyFont="1" applyFill="1" applyBorder="1" applyAlignment="1">
      <alignment horizontal="center" vertical="center" wrapText="1"/>
    </xf>
    <xf numFmtId="186" fontId="20" fillId="35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215" fontId="12" fillId="34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5" fontId="11" fillId="0" borderId="12" xfId="0" applyNumberFormat="1" applyFont="1" applyFill="1" applyBorder="1" applyAlignment="1">
      <alignment horizontal="right" vertical="center" wrapText="1"/>
    </xf>
    <xf numFmtId="186" fontId="9" fillId="0" borderId="12" xfId="0" applyNumberFormat="1" applyFont="1" applyFill="1" applyBorder="1" applyAlignment="1">
      <alignment horizontal="right" vertical="center" wrapText="1"/>
    </xf>
    <xf numFmtId="185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215" fontId="13" fillId="0" borderId="12" xfId="0" applyNumberFormat="1" applyFont="1" applyFill="1" applyBorder="1" applyAlignment="1">
      <alignment horizontal="right" vertical="center" wrapText="1"/>
    </xf>
    <xf numFmtId="185" fontId="9" fillId="0" borderId="12" xfId="0" applyNumberFormat="1" applyFont="1" applyFill="1" applyBorder="1" applyAlignment="1">
      <alignment horizontal="right" vertical="center" wrapText="1"/>
    </xf>
    <xf numFmtId="215" fontId="9" fillId="0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186" fontId="9" fillId="0" borderId="13" xfId="0" applyNumberFormat="1" applyFont="1" applyFill="1" applyBorder="1" applyAlignment="1">
      <alignment horizontal="center"/>
    </xf>
    <xf numFmtId="178" fontId="9" fillId="0" borderId="13" xfId="0" applyNumberFormat="1" applyFont="1" applyFill="1" applyBorder="1" applyAlignment="1">
      <alignment/>
    </xf>
    <xf numFmtId="178" fontId="9" fillId="0" borderId="13" xfId="0" applyNumberFormat="1" applyFont="1" applyFill="1" applyBorder="1" applyAlignment="1">
      <alignment horizontal="right" vertical="center" wrapText="1"/>
    </xf>
    <xf numFmtId="172" fontId="9" fillId="0" borderId="12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77" fontId="9" fillId="0" borderId="16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 horizontal="right" wrapText="1"/>
    </xf>
    <xf numFmtId="178" fontId="9" fillId="0" borderId="14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 horizontal="right" wrapText="1"/>
    </xf>
    <xf numFmtId="178" fontId="11" fillId="0" borderId="0" xfId="0" applyNumberFormat="1" applyFont="1" applyFill="1" applyAlignment="1">
      <alignment vertical="center"/>
    </xf>
    <xf numFmtId="215" fontId="13" fillId="34" borderId="12" xfId="0" applyNumberFormat="1" applyFont="1" applyFill="1" applyBorder="1" applyAlignment="1">
      <alignment horizontal="right" vertical="center" wrapText="1"/>
    </xf>
    <xf numFmtId="178" fontId="11" fillId="34" borderId="12" xfId="0" applyNumberFormat="1" applyFont="1" applyFill="1" applyBorder="1" applyAlignment="1">
      <alignment horizontal="right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2" fillId="34" borderId="0" xfId="0" applyFont="1" applyFill="1" applyAlignment="1">
      <alignment horizontal="center" wrapText="1"/>
    </xf>
    <xf numFmtId="0" fontId="19" fillId="34" borderId="13" xfId="0" applyFont="1" applyFill="1" applyBorder="1" applyAlignment="1">
      <alignment horizontal="left" vertical="top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186" fontId="20" fillId="34" borderId="13" xfId="0" applyNumberFormat="1" applyFont="1" applyFill="1" applyBorder="1" applyAlignment="1">
      <alignment horizontal="center" vertical="center" wrapText="1"/>
    </xf>
    <xf numFmtId="2" fontId="20" fillId="34" borderId="13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2" fontId="19" fillId="35" borderId="13" xfId="0" applyNumberFormat="1" applyFont="1" applyFill="1" applyBorder="1" applyAlignment="1">
      <alignment horizontal="center"/>
    </xf>
    <xf numFmtId="0" fontId="32" fillId="34" borderId="0" xfId="0" applyFont="1" applyFill="1" applyAlignment="1">
      <alignment horizontal="center" vertical="top" wrapText="1"/>
    </xf>
    <xf numFmtId="0" fontId="32" fillId="34" borderId="0" xfId="0" applyFont="1" applyFill="1" applyAlignment="1">
      <alignment vertical="top" wrapText="1"/>
    </xf>
    <xf numFmtId="0" fontId="19" fillId="0" borderId="13" xfId="0" applyFont="1" applyFill="1" applyBorder="1" applyAlignment="1">
      <alignment horizontal="center" vertical="top" wrapText="1"/>
    </xf>
    <xf numFmtId="0" fontId="37" fillId="34" borderId="0" xfId="0" applyFont="1" applyFill="1" applyAlignment="1">
      <alignment/>
    </xf>
    <xf numFmtId="0" fontId="32" fillId="34" borderId="0" xfId="0" applyFont="1" applyFill="1" applyAlignment="1">
      <alignment horizontal="center" wrapText="1"/>
    </xf>
    <xf numFmtId="0" fontId="19" fillId="35" borderId="13" xfId="0" applyFont="1" applyFill="1" applyBorder="1" applyAlignment="1">
      <alignment/>
    </xf>
    <xf numFmtId="0" fontId="23" fillId="35" borderId="13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186" fontId="19" fillId="35" borderId="13" xfId="0" applyNumberFormat="1" applyFont="1" applyFill="1" applyBorder="1" applyAlignment="1">
      <alignment horizontal="left"/>
    </xf>
    <xf numFmtId="173" fontId="19" fillId="35" borderId="13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86" fontId="0" fillId="35" borderId="13" xfId="0" applyNumberFormat="1" applyFont="1" applyFill="1" applyBorder="1" applyAlignment="1">
      <alignment/>
    </xf>
    <xf numFmtId="2" fontId="20" fillId="35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 shrinkToFit="1"/>
    </xf>
    <xf numFmtId="0" fontId="35" fillId="36" borderId="13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0" fillId="36" borderId="13" xfId="0" applyFill="1" applyBorder="1" applyAlignment="1">
      <alignment/>
    </xf>
    <xf numFmtId="0" fontId="52" fillId="36" borderId="22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0" applyAlignment="1">
      <alignment horizontal="left" indent="4"/>
    </xf>
    <xf numFmtId="0" fontId="54" fillId="0" borderId="0" xfId="0" applyFont="1" applyAlignment="1">
      <alignment/>
    </xf>
    <xf numFmtId="0" fontId="41" fillId="37" borderId="22" xfId="0" applyFont="1" applyFill="1" applyBorder="1" applyAlignment="1">
      <alignment/>
    </xf>
    <xf numFmtId="0" fontId="35" fillId="0" borderId="0" xfId="0" applyFont="1" applyAlignment="1">
      <alignment horizontal="left" vertical="center" wrapText="1" shrinkToFit="1"/>
    </xf>
    <xf numFmtId="0" fontId="35" fillId="0" borderId="0" xfId="0" applyFont="1" applyAlignment="1">
      <alignment horizontal="right" vertical="center" wrapText="1" shrinkToFit="1"/>
    </xf>
    <xf numFmtId="0" fontId="35" fillId="37" borderId="13" xfId="0" applyFont="1" applyFill="1" applyBorder="1" applyAlignment="1">
      <alignment vertical="center"/>
    </xf>
    <xf numFmtId="0" fontId="0" fillId="37" borderId="13" xfId="0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35" fillId="37" borderId="13" xfId="0" applyFont="1" applyFill="1" applyBorder="1" applyAlignment="1">
      <alignment/>
    </xf>
    <xf numFmtId="0" fontId="56" fillId="0" borderId="0" xfId="0" applyFont="1" applyAlignment="1">
      <alignment horizontal="left" indent="6"/>
    </xf>
    <xf numFmtId="0" fontId="57" fillId="37" borderId="13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35" fillId="37" borderId="1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36" borderId="0" xfId="0" applyFill="1" applyAlignment="1">
      <alignment horizontal="center"/>
    </xf>
    <xf numFmtId="0" fontId="3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left" indent="2"/>
    </xf>
    <xf numFmtId="0" fontId="22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indent="4"/>
    </xf>
    <xf numFmtId="183" fontId="35" fillId="0" borderId="13" xfId="0" applyNumberFormat="1" applyFont="1" applyBorder="1" applyAlignment="1">
      <alignment/>
    </xf>
    <xf numFmtId="187" fontId="35" fillId="0" borderId="13" xfId="0" applyNumberFormat="1" applyFont="1" applyBorder="1" applyAlignment="1">
      <alignment/>
    </xf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/>
    </xf>
    <xf numFmtId="187" fontId="34" fillId="0" borderId="13" xfId="0" applyNumberFormat="1" applyFont="1" applyFill="1" applyBorder="1" applyAlignment="1">
      <alignment horizontal="right" vertical="center" wrapText="1"/>
    </xf>
    <xf numFmtId="187" fontId="34" fillId="0" borderId="13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 shrinkToFit="1"/>
    </xf>
    <xf numFmtId="0" fontId="21" fillId="36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36" borderId="13" xfId="0" applyFont="1" applyFill="1" applyBorder="1" applyAlignment="1">
      <alignment/>
    </xf>
    <xf numFmtId="0" fontId="32" fillId="36" borderId="22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62" fillId="0" borderId="0" xfId="0" applyFont="1" applyAlignment="1">
      <alignment/>
    </xf>
    <xf numFmtId="0" fontId="37" fillId="37" borderId="22" xfId="0" applyFont="1" applyFill="1" applyBorder="1" applyAlignment="1">
      <alignment/>
    </xf>
    <xf numFmtId="0" fontId="21" fillId="0" borderId="0" xfId="0" applyFont="1" applyAlignment="1">
      <alignment horizontal="left" vertical="center" wrapText="1" shrinkToFit="1"/>
    </xf>
    <xf numFmtId="0" fontId="21" fillId="0" borderId="0" xfId="0" applyFont="1" applyAlignment="1">
      <alignment horizontal="right" vertical="center" wrapText="1" shrinkToFit="1"/>
    </xf>
    <xf numFmtId="0" fontId="21" fillId="37" borderId="13" xfId="0" applyFont="1" applyFill="1" applyBorder="1" applyAlignment="1">
      <alignment horizontal="right" vertical="center"/>
    </xf>
    <xf numFmtId="0" fontId="20" fillId="37" borderId="13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3" fillId="0" borderId="0" xfId="0" applyFont="1" applyAlignment="1">
      <alignment/>
    </xf>
    <xf numFmtId="0" fontId="20" fillId="0" borderId="0" xfId="0" applyFont="1" applyAlignment="1">
      <alignment/>
    </xf>
    <xf numFmtId="0" fontId="21" fillId="37" borderId="13" xfId="0" applyFont="1" applyFill="1" applyBorder="1" applyAlignment="1">
      <alignment/>
    </xf>
    <xf numFmtId="0" fontId="20" fillId="37" borderId="13" xfId="0" applyFont="1" applyFill="1" applyBorder="1" applyAlignment="1">
      <alignment/>
    </xf>
    <xf numFmtId="0" fontId="21" fillId="37" borderId="13" xfId="0" applyFont="1" applyFill="1" applyBorder="1" applyAlignment="1">
      <alignment vertical="center"/>
    </xf>
    <xf numFmtId="0" fontId="64" fillId="0" borderId="0" xfId="0" applyFont="1" applyAlignment="1">
      <alignment horizontal="left" indent="6"/>
    </xf>
    <xf numFmtId="0" fontId="65" fillId="37" borderId="13" xfId="0" applyFont="1" applyFill="1" applyBorder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21" fillId="37" borderId="13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0" fillId="36" borderId="0" xfId="0" applyFont="1" applyFill="1" applyAlignment="1">
      <alignment horizontal="center"/>
    </xf>
    <xf numFmtId="0" fontId="21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20" fillId="36" borderId="0" xfId="0" applyFont="1" applyFill="1" applyAlignment="1">
      <alignment horizontal="left" indent="2"/>
    </xf>
    <xf numFmtId="0" fontId="21" fillId="0" borderId="13" xfId="0" applyFont="1" applyBorder="1" applyAlignment="1">
      <alignment horizontal="left" indent="4"/>
    </xf>
    <xf numFmtId="183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87" fontId="21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 indent="4"/>
    </xf>
    <xf numFmtId="0" fontId="20" fillId="0" borderId="13" xfId="0" applyFont="1" applyBorder="1" applyAlignment="1">
      <alignment horizontal="right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 horizontal="right"/>
    </xf>
    <xf numFmtId="0" fontId="32" fillId="34" borderId="0" xfId="0" applyFont="1" applyFill="1" applyAlignment="1">
      <alignment/>
    </xf>
    <xf numFmtId="0" fontId="4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34" fillId="34" borderId="0" xfId="0" applyFont="1" applyFill="1" applyAlignment="1">
      <alignment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4" fillId="34" borderId="13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vertical="center" wrapText="1"/>
    </xf>
    <xf numFmtId="0" fontId="34" fillId="34" borderId="13" xfId="0" applyFont="1" applyFill="1" applyBorder="1" applyAlignment="1">
      <alignment horizontal="right" vertical="center" wrapText="1"/>
    </xf>
    <xf numFmtId="2" fontId="34" fillId="34" borderId="13" xfId="0" applyNumberFormat="1" applyFont="1" applyFill="1" applyBorder="1" applyAlignment="1">
      <alignment horizontal="right" vertical="center" wrapText="1"/>
    </xf>
    <xf numFmtId="184" fontId="34" fillId="34" borderId="13" xfId="0" applyNumberFormat="1" applyFont="1" applyFill="1" applyBorder="1" applyAlignment="1">
      <alignment horizontal="center" vertical="center" wrapText="1"/>
    </xf>
    <xf numFmtId="184" fontId="34" fillId="34" borderId="13" xfId="0" applyNumberFormat="1" applyFont="1" applyFill="1" applyBorder="1" applyAlignment="1">
      <alignment horizontal="right" vertical="center" wrapText="1"/>
    </xf>
    <xf numFmtId="187" fontId="34" fillId="34" borderId="13" xfId="0" applyNumberFormat="1" applyFont="1" applyFill="1" applyBorder="1" applyAlignment="1">
      <alignment horizontal="right" vertical="center" wrapText="1"/>
    </xf>
    <xf numFmtId="187" fontId="34" fillId="34" borderId="13" xfId="0" applyNumberFormat="1" applyFont="1" applyFill="1" applyBorder="1" applyAlignment="1">
      <alignment vertical="center"/>
    </xf>
    <xf numFmtId="172" fontId="34" fillId="34" borderId="13" xfId="0" applyNumberFormat="1" applyFont="1" applyFill="1" applyBorder="1" applyAlignment="1">
      <alignment horizontal="right" vertical="center" wrapText="1"/>
    </xf>
    <xf numFmtId="0" fontId="34" fillId="34" borderId="13" xfId="0" applyFont="1" applyFill="1" applyBorder="1" applyAlignment="1">
      <alignment/>
    </xf>
    <xf numFmtId="0" fontId="34" fillId="34" borderId="14" xfId="0" applyFont="1" applyFill="1" applyBorder="1" applyAlignment="1">
      <alignment horizontal="right" vertical="center" wrapText="1"/>
    </xf>
    <xf numFmtId="1" fontId="34" fillId="34" borderId="13" xfId="0" applyNumberFormat="1" applyFont="1" applyFill="1" applyBorder="1" applyAlignment="1">
      <alignment horizontal="right" vertical="center" wrapText="1"/>
    </xf>
    <xf numFmtId="16" fontId="68" fillId="34" borderId="13" xfId="0" applyNumberFormat="1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vertical="center" wrapText="1"/>
    </xf>
    <xf numFmtId="0" fontId="68" fillId="34" borderId="13" xfId="0" applyFont="1" applyFill="1" applyBorder="1" applyAlignment="1">
      <alignment horizontal="right" vertical="center" wrapText="1"/>
    </xf>
    <xf numFmtId="184" fontId="68" fillId="34" borderId="13" xfId="0" applyNumberFormat="1" applyFont="1" applyFill="1" applyBorder="1" applyAlignment="1">
      <alignment horizontal="right" vertical="center"/>
    </xf>
    <xf numFmtId="184" fontId="68" fillId="34" borderId="13" xfId="0" applyNumberFormat="1" applyFont="1" applyFill="1" applyBorder="1" applyAlignment="1">
      <alignment horizontal="right" vertical="center" wrapText="1"/>
    </xf>
    <xf numFmtId="187" fontId="68" fillId="34" borderId="13" xfId="0" applyNumberFormat="1" applyFont="1" applyFill="1" applyBorder="1" applyAlignment="1">
      <alignment horizontal="right" vertical="center" wrapText="1"/>
    </xf>
    <xf numFmtId="187" fontId="68" fillId="34" borderId="13" xfId="0" applyNumberFormat="1" applyFont="1" applyFill="1" applyBorder="1" applyAlignment="1">
      <alignment vertical="center"/>
    </xf>
    <xf numFmtId="172" fontId="68" fillId="34" borderId="13" xfId="0" applyNumberFormat="1" applyFont="1" applyFill="1" applyBorder="1" applyAlignment="1">
      <alignment horizontal="right" vertical="center" wrapText="1"/>
    </xf>
    <xf numFmtId="0" fontId="68" fillId="34" borderId="13" xfId="0" applyFont="1" applyFill="1" applyBorder="1" applyAlignment="1">
      <alignment/>
    </xf>
    <xf numFmtId="0" fontId="69" fillId="34" borderId="0" xfId="0" applyFont="1" applyFill="1" applyAlignment="1">
      <alignment/>
    </xf>
    <xf numFmtId="0" fontId="68" fillId="34" borderId="13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vertical="top" wrapText="1"/>
    </xf>
    <xf numFmtId="190" fontId="67" fillId="34" borderId="22" xfId="0" applyNumberFormat="1" applyFont="1" applyFill="1" applyBorder="1" applyAlignment="1">
      <alignment horizontal="right" vertical="center" wrapText="1"/>
    </xf>
    <xf numFmtId="2" fontId="67" fillId="34" borderId="14" xfId="0" applyNumberFormat="1" applyFont="1" applyFill="1" applyBorder="1" applyAlignment="1">
      <alignment vertical="center" wrapText="1"/>
    </xf>
    <xf numFmtId="2" fontId="67" fillId="34" borderId="13" xfId="0" applyNumberFormat="1" applyFont="1" applyFill="1" applyBorder="1" applyAlignment="1">
      <alignment horizontal="right" vertical="center" wrapText="1"/>
    </xf>
    <xf numFmtId="0" fontId="67" fillId="34" borderId="14" xfId="0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1" fontId="67" fillId="34" borderId="13" xfId="0" applyNumberFormat="1" applyFont="1" applyFill="1" applyBorder="1" applyAlignment="1">
      <alignment horizontal="right" vertical="center" wrapText="1"/>
    </xf>
    <xf numFmtId="187" fontId="67" fillId="34" borderId="13" xfId="0" applyNumberFormat="1" applyFont="1" applyFill="1" applyBorder="1" applyAlignment="1">
      <alignment horizontal="right" vertical="center" wrapText="1"/>
    </xf>
    <xf numFmtId="173" fontId="67" fillId="34" borderId="13" xfId="0" applyNumberFormat="1" applyFont="1" applyFill="1" applyBorder="1" applyAlignment="1">
      <alignment horizontal="right" vertical="center" wrapText="1"/>
    </xf>
    <xf numFmtId="172" fontId="67" fillId="34" borderId="13" xfId="0" applyNumberFormat="1" applyFont="1" applyFill="1" applyBorder="1" applyAlignment="1">
      <alignment horizontal="right" vertical="center" wrapText="1"/>
    </xf>
    <xf numFmtId="185" fontId="34" fillId="34" borderId="13" xfId="0" applyNumberFormat="1" applyFont="1" applyFill="1" applyBorder="1" applyAlignment="1">
      <alignment horizontal="center" vertical="center" wrapText="1"/>
    </xf>
    <xf numFmtId="185" fontId="34" fillId="34" borderId="13" xfId="0" applyNumberFormat="1" applyFont="1" applyFill="1" applyBorder="1" applyAlignment="1">
      <alignment horizontal="right" vertical="center" wrapText="1"/>
    </xf>
    <xf numFmtId="0" fontId="34" fillId="34" borderId="0" xfId="0" applyFont="1" applyFill="1" applyAlignment="1">
      <alignment/>
    </xf>
    <xf numFmtId="185" fontId="34" fillId="34" borderId="14" xfId="0" applyNumberFormat="1" applyFont="1" applyFill="1" applyBorder="1" applyAlignment="1">
      <alignment horizontal="right" vertical="center" wrapText="1"/>
    </xf>
    <xf numFmtId="185" fontId="68" fillId="34" borderId="13" xfId="0" applyNumberFormat="1" applyFont="1" applyFill="1" applyBorder="1" applyAlignment="1">
      <alignment horizontal="right" vertical="center"/>
    </xf>
    <xf numFmtId="185" fontId="68" fillId="34" borderId="13" xfId="0" applyNumberFormat="1" applyFont="1" applyFill="1" applyBorder="1" applyAlignment="1">
      <alignment horizontal="right" vertical="center" wrapText="1"/>
    </xf>
    <xf numFmtId="0" fontId="68" fillId="34" borderId="0" xfId="0" applyFont="1" applyFill="1" applyAlignment="1">
      <alignment/>
    </xf>
    <xf numFmtId="0" fontId="68" fillId="34" borderId="0" xfId="0" applyFont="1" applyFill="1" applyAlignment="1">
      <alignment vertical="top" wrapText="1"/>
    </xf>
    <xf numFmtId="190" fontId="67" fillId="34" borderId="23" xfId="0" applyNumberFormat="1" applyFont="1" applyFill="1" applyBorder="1" applyAlignment="1">
      <alignment horizontal="right" vertical="center" wrapText="1"/>
    </xf>
    <xf numFmtId="2" fontId="67" fillId="34" borderId="19" xfId="0" applyNumberFormat="1" applyFont="1" applyFill="1" applyBorder="1" applyAlignment="1">
      <alignment vertical="center" wrapText="1"/>
    </xf>
    <xf numFmtId="2" fontId="67" fillId="34" borderId="20" xfId="0" applyNumberFormat="1" applyFont="1" applyFill="1" applyBorder="1" applyAlignment="1">
      <alignment horizontal="right" vertical="center" wrapText="1"/>
    </xf>
    <xf numFmtId="0" fontId="67" fillId="34" borderId="19" xfId="0" applyFont="1" applyFill="1" applyBorder="1" applyAlignment="1">
      <alignment horizontal="right" vertical="center" wrapText="1"/>
    </xf>
    <xf numFmtId="0" fontId="67" fillId="34" borderId="20" xfId="0" applyFont="1" applyFill="1" applyBorder="1" applyAlignment="1">
      <alignment horizontal="right" vertical="center" wrapText="1"/>
    </xf>
    <xf numFmtId="1" fontId="67" fillId="34" borderId="20" xfId="0" applyNumberFormat="1" applyFont="1" applyFill="1" applyBorder="1" applyAlignment="1">
      <alignment horizontal="right" vertical="center" wrapText="1"/>
    </xf>
    <xf numFmtId="187" fontId="67" fillId="34" borderId="20" xfId="0" applyNumberFormat="1" applyFont="1" applyFill="1" applyBorder="1" applyAlignment="1">
      <alignment horizontal="right" vertical="center" wrapText="1"/>
    </xf>
    <xf numFmtId="173" fontId="67" fillId="34" borderId="20" xfId="0" applyNumberFormat="1" applyFont="1" applyFill="1" applyBorder="1" applyAlignment="1">
      <alignment horizontal="right" vertical="center" wrapText="1"/>
    </xf>
    <xf numFmtId="172" fontId="67" fillId="34" borderId="20" xfId="0" applyNumberFormat="1" applyFont="1" applyFill="1" applyBorder="1" applyAlignment="1">
      <alignment horizontal="right" vertical="center" wrapText="1"/>
    </xf>
    <xf numFmtId="0" fontId="67" fillId="34" borderId="0" xfId="0" applyFont="1" applyFill="1" applyAlignment="1">
      <alignment vertical="top"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70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vertical="center"/>
    </xf>
    <xf numFmtId="0" fontId="49" fillId="34" borderId="0" xfId="0" applyFont="1" applyFill="1" applyBorder="1" applyAlignment="1">
      <alignment horizontal="right"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vertical="center"/>
    </xf>
    <xf numFmtId="0" fontId="48" fillId="34" borderId="0" xfId="0" applyFont="1" applyFill="1" applyAlignment="1">
      <alignment/>
    </xf>
    <xf numFmtId="0" fontId="49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19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71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46" fillId="34" borderId="13" xfId="0" applyFont="1" applyFill="1" applyBorder="1" applyAlignment="1">
      <alignment vertical="top" wrapText="1"/>
    </xf>
    <xf numFmtId="0" fontId="46" fillId="34" borderId="13" xfId="0" applyFont="1" applyFill="1" applyBorder="1" applyAlignment="1">
      <alignment horizontal="center" vertical="top" wrapText="1"/>
    </xf>
    <xf numFmtId="0" fontId="20" fillId="34" borderId="0" xfId="53" applyFont="1" applyFill="1">
      <alignment/>
      <protection/>
    </xf>
    <xf numFmtId="0" fontId="32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 wrapText="1"/>
    </xf>
    <xf numFmtId="49" fontId="29" fillId="34" borderId="13" xfId="53" applyNumberFormat="1" applyFont="1" applyFill="1" applyBorder="1" applyAlignment="1">
      <alignment horizontal="center" vertical="center" wrapText="1"/>
      <protection/>
    </xf>
    <xf numFmtId="49" fontId="29" fillId="34" borderId="15" xfId="53" applyNumberFormat="1" applyFont="1" applyFill="1" applyBorder="1" applyAlignment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/>
    </xf>
    <xf numFmtId="49" fontId="29" fillId="34" borderId="13" xfId="53" applyNumberFormat="1" applyFont="1" applyFill="1" applyBorder="1" applyAlignment="1">
      <alignment horizontal="center" vertical="center"/>
      <protection/>
    </xf>
    <xf numFmtId="49" fontId="29" fillId="34" borderId="15" xfId="53" applyNumberFormat="1" applyFont="1" applyFill="1" applyBorder="1" applyAlignment="1">
      <alignment horizontal="center" vertical="center"/>
      <protection/>
    </xf>
    <xf numFmtId="0" fontId="22" fillId="34" borderId="13" xfId="0" applyFont="1" applyFill="1" applyBorder="1" applyAlignment="1">
      <alignment horizontal="center"/>
    </xf>
    <xf numFmtId="49" fontId="22" fillId="34" borderId="13" xfId="0" applyNumberFormat="1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20" fillId="34" borderId="13" xfId="0" applyFont="1" applyFill="1" applyBorder="1" applyAlignment="1">
      <alignment horizontal="center"/>
    </xf>
    <xf numFmtId="186" fontId="20" fillId="34" borderId="13" xfId="0" applyNumberFormat="1" applyFont="1" applyFill="1" applyBorder="1" applyAlignment="1">
      <alignment horizontal="center"/>
    </xf>
    <xf numFmtId="173" fontId="20" fillId="34" borderId="13" xfId="0" applyNumberFormat="1" applyFont="1" applyFill="1" applyBorder="1" applyAlignment="1">
      <alignment horizontal="center"/>
    </xf>
    <xf numFmtId="173" fontId="20" fillId="34" borderId="13" xfId="53" applyNumberFormat="1" applyFont="1" applyFill="1" applyBorder="1" applyAlignment="1">
      <alignment horizontal="center"/>
      <protection/>
    </xf>
    <xf numFmtId="2" fontId="20" fillId="34" borderId="13" xfId="53" applyNumberFormat="1" applyFont="1" applyFill="1" applyBorder="1" applyAlignment="1">
      <alignment horizontal="center"/>
      <protection/>
    </xf>
    <xf numFmtId="0" fontId="20" fillId="34" borderId="13" xfId="53" applyFont="1" applyFill="1" applyBorder="1" applyAlignment="1">
      <alignment horizontal="left"/>
      <protection/>
    </xf>
    <xf numFmtId="0" fontId="20" fillId="34" borderId="13" xfId="53" applyFont="1" applyFill="1" applyBorder="1" applyAlignment="1">
      <alignment horizontal="center"/>
      <protection/>
    </xf>
    <xf numFmtId="0" fontId="48" fillId="34" borderId="13" xfId="0" applyFont="1" applyFill="1" applyBorder="1" applyAlignment="1">
      <alignment horizontal="center"/>
    </xf>
    <xf numFmtId="173" fontId="21" fillId="34" borderId="13" xfId="0" applyNumberFormat="1" applyFont="1" applyFill="1" applyBorder="1" applyAlignment="1">
      <alignment horizontal="center"/>
    </xf>
    <xf numFmtId="1" fontId="21" fillId="34" borderId="13" xfId="0" applyNumberFormat="1" applyFont="1" applyFill="1" applyBorder="1" applyAlignment="1">
      <alignment horizontal="center"/>
    </xf>
    <xf numFmtId="186" fontId="21" fillId="34" borderId="13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0" fillId="34" borderId="13" xfId="53" applyFont="1" applyFill="1" applyBorder="1">
      <alignment/>
      <protection/>
    </xf>
    <xf numFmtId="0" fontId="47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107" fillId="0" borderId="14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textRotation="90"/>
    </xf>
    <xf numFmtId="0" fontId="42" fillId="0" borderId="11" xfId="0" applyFont="1" applyBorder="1" applyAlignment="1">
      <alignment textRotation="90"/>
    </xf>
    <xf numFmtId="0" fontId="15" fillId="34" borderId="20" xfId="0" applyFont="1" applyFill="1" applyBorder="1" applyAlignment="1">
      <alignment horizontal="center" vertical="center" textRotation="90" wrapText="1"/>
    </xf>
    <xf numFmtId="0" fontId="15" fillId="34" borderId="17" xfId="0" applyFont="1" applyFill="1" applyBorder="1" applyAlignment="1">
      <alignment horizontal="center" vertical="center" textRotation="90" wrapText="1"/>
    </xf>
    <xf numFmtId="0" fontId="42" fillId="34" borderId="11" xfId="0" applyFont="1" applyFill="1" applyBorder="1" applyAlignment="1">
      <alignment textRotation="90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textRotation="90"/>
    </xf>
    <xf numFmtId="0" fontId="15" fillId="0" borderId="1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5" fillId="34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9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38" borderId="15" xfId="0" applyFont="1" applyFill="1" applyBorder="1" applyAlignment="1">
      <alignment horizontal="left" vertical="center" wrapText="1"/>
    </xf>
    <xf numFmtId="0" fontId="9" fillId="38" borderId="16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23" fontId="3" fillId="33" borderId="15" xfId="0" applyNumberFormat="1" applyFont="1" applyFill="1" applyBorder="1" applyAlignment="1">
      <alignment horizontal="center" vertical="center"/>
    </xf>
    <xf numFmtId="223" fontId="3" fillId="33" borderId="16" xfId="0" applyNumberFormat="1" applyFont="1" applyFill="1" applyBorder="1" applyAlignment="1">
      <alignment horizontal="center" vertical="center"/>
    </xf>
    <xf numFmtId="223" fontId="3" fillId="38" borderId="15" xfId="0" applyNumberFormat="1" applyFont="1" applyFill="1" applyBorder="1" applyAlignment="1">
      <alignment horizontal="center" vertical="center"/>
    </xf>
    <xf numFmtId="223" fontId="3" fillId="38" borderId="16" xfId="0" applyNumberFormat="1" applyFont="1" applyFill="1" applyBorder="1" applyAlignment="1">
      <alignment horizontal="center" vertical="center"/>
    </xf>
    <xf numFmtId="223" fontId="3" fillId="38" borderId="14" xfId="0" applyNumberFormat="1" applyFont="1" applyFill="1" applyBorder="1" applyAlignment="1">
      <alignment horizontal="center" vertical="center"/>
    </xf>
    <xf numFmtId="223" fontId="3" fillId="9" borderId="15" xfId="0" applyNumberFormat="1" applyFont="1" applyFill="1" applyBorder="1" applyAlignment="1">
      <alignment horizontal="center" vertical="center"/>
    </xf>
    <xf numFmtId="223" fontId="3" fillId="9" borderId="16" xfId="0" applyNumberFormat="1" applyFont="1" applyFill="1" applyBorder="1" applyAlignment="1">
      <alignment horizontal="center" vertical="center"/>
    </xf>
    <xf numFmtId="223" fontId="3" fillId="9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23" fillId="0" borderId="15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7" fillId="34" borderId="0" xfId="0" applyFont="1" applyFill="1" applyAlignment="1">
      <alignment horizontal="center" wrapText="1"/>
    </xf>
    <xf numFmtId="0" fontId="19" fillId="38" borderId="17" xfId="0" applyFont="1" applyFill="1" applyBorder="1" applyAlignment="1">
      <alignment horizontal="center" vertical="center" textRotation="90" wrapText="1"/>
    </xf>
    <xf numFmtId="0" fontId="0" fillId="38" borderId="17" xfId="0" applyFont="1" applyFill="1" applyBorder="1" applyAlignment="1">
      <alignment textRotation="90"/>
    </xf>
    <xf numFmtId="0" fontId="19" fillId="0" borderId="0" xfId="0" applyFont="1" applyAlignment="1">
      <alignment horizontal="right"/>
    </xf>
    <xf numFmtId="0" fontId="32" fillId="0" borderId="0" xfId="0" applyFont="1" applyFill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223" fontId="49" fillId="33" borderId="15" xfId="0" applyNumberFormat="1" applyFont="1" applyFill="1" applyBorder="1" applyAlignment="1">
      <alignment horizontal="center" vertical="center"/>
    </xf>
    <xf numFmtId="223" fontId="49" fillId="33" borderId="16" xfId="0" applyNumberFormat="1" applyFont="1" applyFill="1" applyBorder="1" applyAlignment="1">
      <alignment horizontal="center" vertical="center"/>
    </xf>
    <xf numFmtId="223" fontId="49" fillId="33" borderId="14" xfId="0" applyNumberFormat="1" applyFont="1" applyFill="1" applyBorder="1" applyAlignment="1">
      <alignment horizontal="center" vertical="center"/>
    </xf>
    <xf numFmtId="223" fontId="49" fillId="40" borderId="15" xfId="0" applyNumberFormat="1" applyFont="1" applyFill="1" applyBorder="1" applyAlignment="1">
      <alignment horizontal="center" vertical="center"/>
    </xf>
    <xf numFmtId="223" fontId="49" fillId="40" borderId="16" xfId="0" applyNumberFormat="1" applyFont="1" applyFill="1" applyBorder="1" applyAlignment="1">
      <alignment horizontal="center" vertical="center"/>
    </xf>
    <xf numFmtId="223" fontId="49" fillId="40" borderId="14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textRotation="90" wrapText="1"/>
    </xf>
    <xf numFmtId="0" fontId="0" fillId="37" borderId="17" xfId="0" applyFont="1" applyFill="1" applyBorder="1" applyAlignment="1">
      <alignment textRotation="90"/>
    </xf>
    <xf numFmtId="0" fontId="32" fillId="34" borderId="0" xfId="0" applyFont="1" applyFill="1" applyAlignment="1">
      <alignment horizontal="center" vertical="top" wrapText="1"/>
    </xf>
    <xf numFmtId="223" fontId="49" fillId="9" borderId="13" xfId="0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 textRotation="90" wrapText="1"/>
    </xf>
    <xf numFmtId="0" fontId="0" fillId="9" borderId="17" xfId="0" applyFont="1" applyFill="1" applyBorder="1" applyAlignment="1">
      <alignment textRotation="90"/>
    </xf>
    <xf numFmtId="223" fontId="3" fillId="38" borderId="1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26" fillId="34" borderId="17" xfId="0" applyFont="1" applyFill="1" applyBorder="1" applyAlignment="1">
      <alignment horizontal="center" vertical="center" textRotation="90" wrapText="1"/>
    </xf>
    <xf numFmtId="0" fontId="28" fillId="34" borderId="17" xfId="0" applyFont="1" applyFill="1" applyBorder="1" applyAlignment="1">
      <alignment textRotation="90"/>
    </xf>
    <xf numFmtId="0" fontId="26" fillId="0" borderId="17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textRotation="90"/>
    </xf>
    <xf numFmtId="223" fontId="3" fillId="33" borderId="14" xfId="0" applyNumberFormat="1" applyFont="1" applyFill="1" applyBorder="1" applyAlignment="1">
      <alignment horizontal="center" vertical="center"/>
    </xf>
    <xf numFmtId="223" fontId="30" fillId="40" borderId="15" xfId="0" applyNumberFormat="1" applyFont="1" applyFill="1" applyBorder="1" applyAlignment="1">
      <alignment horizontal="center" vertical="center"/>
    </xf>
    <xf numFmtId="223" fontId="30" fillId="40" borderId="16" xfId="0" applyNumberFormat="1" applyFont="1" applyFill="1" applyBorder="1" applyAlignment="1">
      <alignment horizontal="center" vertical="center"/>
    </xf>
    <xf numFmtId="223" fontId="30" fillId="40" borderId="14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textRotation="90"/>
    </xf>
    <xf numFmtId="0" fontId="0" fillId="0" borderId="17" xfId="0" applyFill="1" applyBorder="1" applyAlignment="1">
      <alignment textRotation="90"/>
    </xf>
    <xf numFmtId="223" fontId="30" fillId="9" borderId="13" xfId="0" applyNumberFormat="1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 textRotation="90" wrapText="1"/>
    </xf>
    <xf numFmtId="0" fontId="28" fillId="37" borderId="17" xfId="0" applyFont="1" applyFill="1" applyBorder="1" applyAlignment="1">
      <alignment textRotation="90"/>
    </xf>
    <xf numFmtId="0" fontId="26" fillId="9" borderId="17" xfId="0" applyFont="1" applyFill="1" applyBorder="1" applyAlignment="1">
      <alignment horizontal="center" vertical="center" textRotation="90" wrapText="1"/>
    </xf>
    <xf numFmtId="0" fontId="28" fillId="9" borderId="17" xfId="0" applyFont="1" applyFill="1" applyBorder="1" applyAlignment="1">
      <alignment textRotation="90"/>
    </xf>
    <xf numFmtId="0" fontId="26" fillId="0" borderId="13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textRotation="90"/>
    </xf>
    <xf numFmtId="0" fontId="19" fillId="0" borderId="13" xfId="0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1" xfId="0" applyFont="1" applyBorder="1" applyAlignment="1">
      <alignment/>
    </xf>
    <xf numFmtId="0" fontId="51" fillId="33" borderId="0" xfId="0" applyFont="1" applyFill="1" applyAlignment="1">
      <alignment horizontal="center"/>
    </xf>
    <xf numFmtId="0" fontId="57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65" fillId="0" borderId="0" xfId="0" applyFont="1" applyAlignment="1">
      <alignment horizontal="right" vertical="center"/>
    </xf>
    <xf numFmtId="0" fontId="21" fillId="0" borderId="2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67" fillId="41" borderId="13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67" fillId="40" borderId="15" xfId="0" applyFont="1" applyFill="1" applyBorder="1" applyAlignment="1">
      <alignment horizontal="center" vertical="center" wrapText="1"/>
    </xf>
    <xf numFmtId="0" fontId="67" fillId="40" borderId="16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vertical="center" wrapText="1"/>
    </xf>
    <xf numFmtId="0" fontId="67" fillId="34" borderId="24" xfId="0" applyFont="1" applyFill="1" applyBorder="1" applyAlignment="1">
      <alignment vertical="center" wrapText="1"/>
    </xf>
    <xf numFmtId="0" fontId="67" fillId="7" borderId="15" xfId="0" applyFont="1" applyFill="1" applyBorder="1" applyAlignment="1">
      <alignment horizontal="center" vertical="center" wrapText="1"/>
    </xf>
    <xf numFmtId="0" fontId="67" fillId="7" borderId="16" xfId="0" applyFont="1" applyFill="1" applyBorder="1" applyAlignment="1">
      <alignment horizontal="center" vertical="center" wrapText="1"/>
    </xf>
    <xf numFmtId="0" fontId="67" fillId="7" borderId="14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textRotation="90"/>
    </xf>
    <xf numFmtId="0" fontId="21" fillId="42" borderId="13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textRotation="90" wrapText="1"/>
    </xf>
    <xf numFmtId="0" fontId="46" fillId="34" borderId="11" xfId="0" applyFont="1" applyFill="1" applyBorder="1" applyAlignment="1">
      <alignment horizontal="center" vertical="center" textRotation="90" wrapText="1"/>
    </xf>
    <xf numFmtId="0" fontId="21" fillId="40" borderId="13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/>
    </xf>
    <xf numFmtId="49" fontId="29" fillId="34" borderId="13" xfId="0" applyNumberFormat="1" applyFont="1" applyFill="1" applyBorder="1" applyAlignment="1">
      <alignment horizontal="center" vertical="center" wrapText="1"/>
    </xf>
    <xf numFmtId="49" fontId="29" fillId="34" borderId="20" xfId="0" applyNumberFormat="1" applyFont="1" applyFill="1" applyBorder="1" applyAlignment="1">
      <alignment horizontal="center" vertical="center" wrapText="1"/>
    </xf>
    <xf numFmtId="49" fontId="29" fillId="34" borderId="17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0" fontId="29" fillId="34" borderId="13" xfId="53" applyNumberFormat="1" applyFont="1" applyFill="1" applyBorder="1" applyAlignment="1">
      <alignment horizontal="center" vertical="center" textRotation="90" wrapText="1"/>
      <protection/>
    </xf>
    <xf numFmtId="49" fontId="29" fillId="34" borderId="20" xfId="53" applyNumberFormat="1" applyFont="1" applyFill="1" applyBorder="1" applyAlignment="1">
      <alignment horizontal="center" vertical="top" wrapText="1"/>
      <protection/>
    </xf>
    <xf numFmtId="49" fontId="29" fillId="34" borderId="17" xfId="53" applyNumberFormat="1" applyFont="1" applyFill="1" applyBorder="1" applyAlignment="1">
      <alignment horizontal="center" vertical="top" wrapText="1"/>
      <protection/>
    </xf>
    <xf numFmtId="49" fontId="29" fillId="34" borderId="11" xfId="53" applyNumberFormat="1" applyFont="1" applyFill="1" applyBorder="1" applyAlignment="1">
      <alignment horizontal="center" vertical="top" wrapText="1"/>
      <protection/>
    </xf>
    <xf numFmtId="0" fontId="20" fillId="34" borderId="0" xfId="0" applyFont="1" applyFill="1" applyAlignment="1">
      <alignment horizontal="left"/>
    </xf>
    <xf numFmtId="0" fontId="21" fillId="34" borderId="15" xfId="0" applyFont="1" applyFill="1" applyBorder="1" applyAlignment="1">
      <alignment horizontal="left" wrapText="1"/>
    </xf>
    <xf numFmtId="0" fontId="21" fillId="34" borderId="16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left" wrapText="1"/>
    </xf>
    <xf numFmtId="49" fontId="29" fillId="34" borderId="13" xfId="53" applyNumberFormat="1" applyFont="1" applyFill="1" applyBorder="1" applyAlignment="1">
      <alignment horizontal="center" vertical="center" wrapText="1"/>
      <protection/>
    </xf>
    <xf numFmtId="49" fontId="29" fillId="34" borderId="25" xfId="53" applyNumberFormat="1" applyFont="1" applyFill="1" applyBorder="1" applyAlignment="1">
      <alignment horizontal="center" vertical="center" wrapText="1"/>
      <protection/>
    </xf>
    <xf numFmtId="49" fontId="29" fillId="34" borderId="19" xfId="53" applyNumberFormat="1" applyFont="1" applyFill="1" applyBorder="1" applyAlignment="1">
      <alignment horizontal="center" vertical="center" wrapText="1"/>
      <protection/>
    </xf>
    <xf numFmtId="49" fontId="29" fillId="34" borderId="21" xfId="53" applyNumberFormat="1" applyFont="1" applyFill="1" applyBorder="1" applyAlignment="1">
      <alignment horizontal="center" vertical="center" wrapText="1"/>
      <protection/>
    </xf>
    <xf numFmtId="49" fontId="29" fillId="34" borderId="12" xfId="53" applyNumberFormat="1" applyFont="1" applyFill="1" applyBorder="1" applyAlignment="1">
      <alignment horizontal="center" vertical="center" wrapText="1"/>
      <protection/>
    </xf>
    <xf numFmtId="0" fontId="48" fillId="13" borderId="13" xfId="0" applyFont="1" applyFill="1" applyBorder="1" applyAlignment="1">
      <alignment horizontal="center"/>
    </xf>
    <xf numFmtId="0" fontId="29" fillId="34" borderId="13" xfId="0" applyNumberFormat="1" applyFont="1" applyFill="1" applyBorder="1" applyAlignment="1">
      <alignment horizontal="center" vertical="center" textRotation="90" wrapText="1"/>
    </xf>
    <xf numFmtId="49" fontId="29" fillId="34" borderId="24" xfId="53" applyNumberFormat="1" applyFont="1" applyFill="1" applyBorder="1" applyAlignment="1">
      <alignment horizontal="center" vertical="center" wrapText="1"/>
      <protection/>
    </xf>
    <xf numFmtId="49" fontId="29" fillId="34" borderId="10" xfId="53" applyNumberFormat="1" applyFont="1" applyFill="1" applyBorder="1" applyAlignment="1">
      <alignment horizontal="center" vertical="center" wrapText="1"/>
      <protection/>
    </xf>
    <xf numFmtId="0" fontId="48" fillId="43" borderId="13" xfId="0" applyFont="1" applyFill="1" applyBorder="1" applyAlignment="1">
      <alignment horizontal="center"/>
    </xf>
    <xf numFmtId="0" fontId="48" fillId="40" borderId="13" xfId="0" applyFont="1" applyFill="1" applyBorder="1" applyAlignment="1">
      <alignment horizontal="center"/>
    </xf>
  </cellXfs>
  <cellStyles count="53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а 060, 061, 062 вода (район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5"/>
  <sheetViews>
    <sheetView tabSelected="1" view="pageBreakPreview" zoomScale="75" zoomScaleNormal="80" zoomScaleSheetLayoutView="75" zoomScalePageLayoutView="0" workbookViewId="0" topLeftCell="A1">
      <selection activeCell="E5" sqref="E5:E6"/>
    </sheetView>
  </sheetViews>
  <sheetFormatPr defaultColWidth="9.00390625" defaultRowHeight="12.75"/>
  <cols>
    <col min="1" max="1" width="4.375" style="38" customWidth="1"/>
    <col min="2" max="2" width="20.875" style="38" customWidth="1"/>
    <col min="3" max="3" width="7.875" style="38" customWidth="1"/>
    <col min="4" max="4" width="15.00390625" style="38" customWidth="1"/>
    <col min="5" max="5" width="12.875" style="38" customWidth="1"/>
    <col min="6" max="6" width="9.00390625" style="38" customWidth="1"/>
    <col min="7" max="7" width="11.625" style="38" customWidth="1"/>
    <col min="8" max="8" width="14.125" style="38" customWidth="1"/>
    <col min="9" max="10" width="9.75390625" style="38" customWidth="1"/>
    <col min="11" max="11" width="8.75390625" style="38" customWidth="1"/>
    <col min="12" max="12" width="11.25390625" style="38" customWidth="1"/>
    <col min="13" max="13" width="13.625" style="38" customWidth="1"/>
    <col min="14" max="14" width="14.00390625" style="38" customWidth="1"/>
    <col min="15" max="15" width="13.125" style="38" customWidth="1"/>
    <col min="16" max="16" width="10.625" style="38" customWidth="1"/>
    <col min="17" max="17" width="9.375" style="38" customWidth="1"/>
    <col min="18" max="18" width="11.625" style="38" customWidth="1"/>
    <col min="19" max="19" width="8.875" style="38" customWidth="1"/>
    <col min="20" max="20" width="9.375" style="38" customWidth="1"/>
    <col min="21" max="21" width="9.00390625" style="38" customWidth="1"/>
    <col min="22" max="22" width="9.75390625" style="38" customWidth="1"/>
    <col min="23" max="23" width="12.00390625" style="38" customWidth="1"/>
    <col min="24" max="24" width="11.75390625" style="38" customWidth="1"/>
    <col min="25" max="25" width="11.625" style="38" customWidth="1"/>
    <col min="26" max="26" width="15.625" style="38" customWidth="1"/>
    <col min="27" max="27" width="14.875" style="38" customWidth="1"/>
    <col min="28" max="28" width="15.75390625" style="38" customWidth="1"/>
    <col min="29" max="16384" width="9.125" style="38" customWidth="1"/>
  </cols>
  <sheetData>
    <row r="2" ht="12.75">
      <c r="Z2" s="38" t="s">
        <v>146</v>
      </c>
    </row>
    <row r="3" spans="1:28" s="2" customFormat="1" ht="69.75" customHeight="1">
      <c r="A3" s="1"/>
      <c r="B3" s="1"/>
      <c r="C3" s="468" t="s">
        <v>314</v>
      </c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</row>
    <row r="4" spans="1:28" s="207" customFormat="1" ht="12.75" customHeight="1">
      <c r="A4" s="470" t="s">
        <v>41</v>
      </c>
      <c r="B4" s="470" t="s">
        <v>37</v>
      </c>
      <c r="C4" s="470" t="s">
        <v>0</v>
      </c>
      <c r="D4" s="475" t="s">
        <v>44</v>
      </c>
      <c r="E4" s="476"/>
      <c r="F4" s="476"/>
      <c r="G4" s="476"/>
      <c r="H4" s="476"/>
      <c r="I4" s="476"/>
      <c r="J4" s="476"/>
      <c r="K4" s="476"/>
      <c r="L4" s="476"/>
      <c r="M4" s="476"/>
      <c r="N4" s="477"/>
      <c r="O4" s="478" t="s">
        <v>51</v>
      </c>
      <c r="P4" s="479"/>
      <c r="Q4" s="479"/>
      <c r="R4" s="479"/>
      <c r="S4" s="479"/>
      <c r="T4" s="479"/>
      <c r="U4" s="479"/>
      <c r="V4" s="479"/>
      <c r="W4" s="479"/>
      <c r="X4" s="479"/>
      <c r="Y4" s="480"/>
      <c r="Z4" s="481" t="s">
        <v>40</v>
      </c>
      <c r="AA4" s="482"/>
      <c r="AB4" s="485" t="s">
        <v>52</v>
      </c>
    </row>
    <row r="5" spans="1:28" s="207" customFormat="1" ht="93.75" customHeight="1">
      <c r="A5" s="471"/>
      <c r="B5" s="471"/>
      <c r="C5" s="473"/>
      <c r="D5" s="488" t="s">
        <v>120</v>
      </c>
      <c r="E5" s="488" t="s">
        <v>45</v>
      </c>
      <c r="F5" s="493" t="s">
        <v>38</v>
      </c>
      <c r="G5" s="495" t="s">
        <v>1</v>
      </c>
      <c r="H5" s="496"/>
      <c r="I5" s="493" t="s">
        <v>46</v>
      </c>
      <c r="J5" s="493" t="s">
        <v>47</v>
      </c>
      <c r="K5" s="497" t="s">
        <v>50</v>
      </c>
      <c r="L5" s="498"/>
      <c r="M5" s="499" t="s">
        <v>54</v>
      </c>
      <c r="N5" s="500"/>
      <c r="O5" s="488" t="s">
        <v>121</v>
      </c>
      <c r="P5" s="489" t="s">
        <v>66</v>
      </c>
      <c r="Q5" s="488" t="s">
        <v>39</v>
      </c>
      <c r="R5" s="491" t="s">
        <v>1</v>
      </c>
      <c r="S5" s="492"/>
      <c r="T5" s="488" t="s">
        <v>46</v>
      </c>
      <c r="U5" s="488" t="s">
        <v>47</v>
      </c>
      <c r="V5" s="497" t="s">
        <v>50</v>
      </c>
      <c r="W5" s="498"/>
      <c r="X5" s="499" t="s">
        <v>49</v>
      </c>
      <c r="Y5" s="500"/>
      <c r="Z5" s="483"/>
      <c r="AA5" s="484"/>
      <c r="AB5" s="486"/>
    </row>
    <row r="6" spans="1:28" s="207" customFormat="1" ht="125.25" customHeight="1">
      <c r="A6" s="471"/>
      <c r="B6" s="471"/>
      <c r="C6" s="473"/>
      <c r="D6" s="489"/>
      <c r="E6" s="490"/>
      <c r="F6" s="494"/>
      <c r="G6" s="203" t="s">
        <v>2</v>
      </c>
      <c r="H6" s="202" t="s">
        <v>3</v>
      </c>
      <c r="I6" s="494"/>
      <c r="J6" s="494"/>
      <c r="K6" s="236" t="s">
        <v>2</v>
      </c>
      <c r="L6" s="236" t="s">
        <v>147</v>
      </c>
      <c r="M6" s="239" t="s">
        <v>114</v>
      </c>
      <c r="N6" s="237" t="s">
        <v>115</v>
      </c>
      <c r="O6" s="511"/>
      <c r="P6" s="490"/>
      <c r="Q6" s="511"/>
      <c r="R6" s="236" t="s">
        <v>2</v>
      </c>
      <c r="S6" s="237" t="s">
        <v>3</v>
      </c>
      <c r="T6" s="490"/>
      <c r="U6" s="490"/>
      <c r="V6" s="236" t="s">
        <v>2</v>
      </c>
      <c r="W6" s="238" t="s">
        <v>148</v>
      </c>
      <c r="X6" s="239" t="s">
        <v>116</v>
      </c>
      <c r="Y6" s="237" t="s">
        <v>117</v>
      </c>
      <c r="Z6" s="238" t="s">
        <v>118</v>
      </c>
      <c r="AA6" s="239" t="s">
        <v>119</v>
      </c>
      <c r="AB6" s="487"/>
    </row>
    <row r="7" spans="1:28" s="207" customFormat="1" ht="10.5">
      <c r="A7" s="472"/>
      <c r="B7" s="472"/>
      <c r="C7" s="474"/>
      <c r="D7" s="208" t="s">
        <v>4</v>
      </c>
      <c r="E7" s="3" t="s">
        <v>4</v>
      </c>
      <c r="F7" s="3" t="s">
        <v>5</v>
      </c>
      <c r="G7" s="209"/>
      <c r="H7" s="209"/>
      <c r="I7" s="3" t="s">
        <v>6</v>
      </c>
      <c r="J7" s="209" t="s">
        <v>7</v>
      </c>
      <c r="K7" s="209"/>
      <c r="L7" s="4"/>
      <c r="M7" s="208" t="s">
        <v>8</v>
      </c>
      <c r="N7" s="3" t="s">
        <v>8</v>
      </c>
      <c r="O7" s="208" t="s">
        <v>4</v>
      </c>
      <c r="P7" s="3" t="s">
        <v>4</v>
      </c>
      <c r="Q7" s="3" t="s">
        <v>5</v>
      </c>
      <c r="R7" s="209"/>
      <c r="S7" s="3"/>
      <c r="T7" s="3" t="s">
        <v>6</v>
      </c>
      <c r="U7" s="209" t="s">
        <v>7</v>
      </c>
      <c r="V7" s="209"/>
      <c r="W7" s="4"/>
      <c r="X7" s="208" t="s">
        <v>8</v>
      </c>
      <c r="Y7" s="3" t="s">
        <v>8</v>
      </c>
      <c r="Z7" s="3" t="s">
        <v>5</v>
      </c>
      <c r="AA7" s="208" t="s">
        <v>5</v>
      </c>
      <c r="AB7" s="3" t="s">
        <v>8</v>
      </c>
    </row>
    <row r="8" spans="1:28" s="5" customFormat="1" ht="10.5">
      <c r="A8" s="210">
        <v>1</v>
      </c>
      <c r="B8" s="210">
        <f aca="true" t="shared" si="0" ref="B8:AB8">A8+1</f>
        <v>2</v>
      </c>
      <c r="C8" s="210">
        <f t="shared" si="0"/>
        <v>3</v>
      </c>
      <c r="D8" s="210">
        <f t="shared" si="0"/>
        <v>4</v>
      </c>
      <c r="E8" s="210">
        <f t="shared" si="0"/>
        <v>5</v>
      </c>
      <c r="F8" s="210">
        <f t="shared" si="0"/>
        <v>6</v>
      </c>
      <c r="G8" s="210">
        <f t="shared" si="0"/>
        <v>7</v>
      </c>
      <c r="H8" s="210">
        <f t="shared" si="0"/>
        <v>8</v>
      </c>
      <c r="I8" s="210">
        <f t="shared" si="0"/>
        <v>9</v>
      </c>
      <c r="J8" s="210">
        <f t="shared" si="0"/>
        <v>10</v>
      </c>
      <c r="K8" s="210">
        <f t="shared" si="0"/>
        <v>11</v>
      </c>
      <c r="L8" s="210">
        <f t="shared" si="0"/>
        <v>12</v>
      </c>
      <c r="M8" s="210">
        <f t="shared" si="0"/>
        <v>13</v>
      </c>
      <c r="N8" s="210">
        <f t="shared" si="0"/>
        <v>14</v>
      </c>
      <c r="O8" s="210">
        <f t="shared" si="0"/>
        <v>15</v>
      </c>
      <c r="P8" s="3">
        <f t="shared" si="0"/>
        <v>16</v>
      </c>
      <c r="Q8" s="3">
        <f t="shared" si="0"/>
        <v>17</v>
      </c>
      <c r="R8" s="210">
        <f t="shared" si="0"/>
        <v>18</v>
      </c>
      <c r="S8" s="210">
        <f t="shared" si="0"/>
        <v>19</v>
      </c>
      <c r="T8" s="210">
        <f t="shared" si="0"/>
        <v>20</v>
      </c>
      <c r="U8" s="210">
        <f t="shared" si="0"/>
        <v>21</v>
      </c>
      <c r="V8" s="210">
        <f t="shared" si="0"/>
        <v>22</v>
      </c>
      <c r="W8" s="210">
        <f t="shared" si="0"/>
        <v>23</v>
      </c>
      <c r="X8" s="210">
        <f t="shared" si="0"/>
        <v>24</v>
      </c>
      <c r="Y8" s="210">
        <f t="shared" si="0"/>
        <v>25</v>
      </c>
      <c r="Z8" s="3">
        <f t="shared" si="0"/>
        <v>26</v>
      </c>
      <c r="AA8" s="3">
        <f t="shared" si="0"/>
        <v>27</v>
      </c>
      <c r="AB8" s="210">
        <f t="shared" si="0"/>
        <v>28</v>
      </c>
    </row>
    <row r="9" spans="1:28" s="34" customFormat="1" ht="12.75" customHeight="1" hidden="1">
      <c r="A9" s="31"/>
      <c r="B9" s="501" t="s">
        <v>43</v>
      </c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3"/>
    </row>
    <row r="10" spans="1:28" s="34" customFormat="1" ht="13.5">
      <c r="A10" s="31"/>
      <c r="B10" s="504" t="s">
        <v>138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6"/>
    </row>
    <row r="11" spans="1:28" s="5" customFormat="1" ht="15" customHeight="1">
      <c r="A11" s="3"/>
      <c r="B11" s="507" t="s">
        <v>292</v>
      </c>
      <c r="C11" s="508"/>
      <c r="D11" s="50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"/>
      <c r="Q11" s="4"/>
      <c r="R11" s="46"/>
      <c r="S11" s="46"/>
      <c r="T11" s="46"/>
      <c r="U11" s="46"/>
      <c r="V11" s="46"/>
      <c r="W11" s="46"/>
      <c r="X11" s="46"/>
      <c r="Y11" s="46"/>
      <c r="Z11" s="4"/>
      <c r="AA11" s="4"/>
      <c r="AB11" s="47"/>
    </row>
    <row r="12" spans="1:28" s="13" customFormat="1" ht="12.75">
      <c r="A12" s="211">
        <v>1</v>
      </c>
      <c r="B12" s="509" t="s">
        <v>13</v>
      </c>
      <c r="C12" s="510"/>
      <c r="D12" s="57" t="e">
        <f>ROUND(M12/L12,5)</f>
        <v>#DIV/0!</v>
      </c>
      <c r="E12" s="57" t="e">
        <f>ROUND(N12/L12,5)</f>
        <v>#DIV/0!</v>
      </c>
      <c r="F12" s="8"/>
      <c r="G12" s="9"/>
      <c r="H12" s="212" t="e">
        <f>ROUND(L12/J12/6*1000,5)</f>
        <v>#DIV/0!</v>
      </c>
      <c r="I12" s="16">
        <f>I13+I14</f>
        <v>0</v>
      </c>
      <c r="J12" s="17">
        <f>J13+J14</f>
        <v>0</v>
      </c>
      <c r="K12" s="17"/>
      <c r="L12" s="55" t="e">
        <f>L13+L14</f>
        <v>#DIV/0!</v>
      </c>
      <c r="M12" s="48" t="e">
        <f>M13+M14</f>
        <v>#DIV/0!</v>
      </c>
      <c r="N12" s="48" t="e">
        <f>N13+N14</f>
        <v>#DIV/0!</v>
      </c>
      <c r="O12" s="57" t="e">
        <f>ROUND(X12/W12,5)</f>
        <v>#DIV/0!</v>
      </c>
      <c r="P12" s="57" t="e">
        <f>ROUND(Y12/W12,5)</f>
        <v>#DIV/0!</v>
      </c>
      <c r="Q12" s="8"/>
      <c r="R12" s="9"/>
      <c r="S12" s="57" t="e">
        <f>ROUND(W12/U12/6*1000,5)</f>
        <v>#DIV/0!</v>
      </c>
      <c r="T12" s="16">
        <f>T13+T14</f>
        <v>0</v>
      </c>
      <c r="U12" s="17">
        <f>U13+U14</f>
        <v>0</v>
      </c>
      <c r="V12" s="21"/>
      <c r="W12" s="55" t="e">
        <f>W13+W14</f>
        <v>#DIV/0!</v>
      </c>
      <c r="X12" s="48" t="e">
        <f>X13+X14</f>
        <v>#DIV/0!</v>
      </c>
      <c r="Y12" s="48" t="e">
        <f>Y13+Y14</f>
        <v>#DIV/0!</v>
      </c>
      <c r="Z12" s="213" t="e">
        <f aca="true" t="shared" si="1" ref="Z12:AA27">ROUND(X12/M12,4)</f>
        <v>#DIV/0!</v>
      </c>
      <c r="AA12" s="213" t="e">
        <f t="shared" si="1"/>
        <v>#DIV/0!</v>
      </c>
      <c r="AB12" s="51" t="e">
        <f>AB13+AB14</f>
        <v>#DIV/0!</v>
      </c>
    </row>
    <row r="13" spans="1:28" s="13" customFormat="1" ht="26.25" customHeight="1">
      <c r="A13" s="18" t="s">
        <v>33</v>
      </c>
      <c r="B13" s="155" t="s">
        <v>53</v>
      </c>
      <c r="C13" s="19" t="s">
        <v>31</v>
      </c>
      <c r="D13" s="57"/>
      <c r="E13" s="57"/>
      <c r="F13" s="8" t="e">
        <f>ROUND(E13/D13%,1)</f>
        <v>#DIV/0!</v>
      </c>
      <c r="G13" s="9"/>
      <c r="H13" s="214" t="s">
        <v>10</v>
      </c>
      <c r="I13" s="20"/>
      <c r="J13" s="15"/>
      <c r="K13" s="21" t="s">
        <v>32</v>
      </c>
      <c r="L13" s="56"/>
      <c r="M13" s="49">
        <f>ROUND(D13*L13,3)</f>
        <v>0</v>
      </c>
      <c r="N13" s="49">
        <f>ROUND(E13*L13,3)</f>
        <v>0</v>
      </c>
      <c r="O13" s="57"/>
      <c r="P13" s="57"/>
      <c r="Q13" s="8" t="e">
        <f>ROUND(P13/O13%,1)</f>
        <v>#DIV/0!</v>
      </c>
      <c r="R13" s="9"/>
      <c r="S13" s="58" t="s">
        <v>10</v>
      </c>
      <c r="T13" s="10"/>
      <c r="U13" s="15"/>
      <c r="V13" s="21" t="s">
        <v>32</v>
      </c>
      <c r="W13" s="56"/>
      <c r="X13" s="49">
        <f>ROUND(O13*W13,3)</f>
        <v>0</v>
      </c>
      <c r="Y13" s="49">
        <f>ROUND(P13*W13,3)</f>
        <v>0</v>
      </c>
      <c r="Z13" s="8" t="e">
        <f t="shared" si="1"/>
        <v>#DIV/0!</v>
      </c>
      <c r="AA13" s="8" t="e">
        <f t="shared" si="1"/>
        <v>#DIV/0!</v>
      </c>
      <c r="AB13" s="52">
        <f>X13-Y13</f>
        <v>0</v>
      </c>
    </row>
    <row r="14" spans="1:30" s="13" customFormat="1" ht="38.25">
      <c r="A14" s="18" t="s">
        <v>34</v>
      </c>
      <c r="B14" s="155" t="s">
        <v>48</v>
      </c>
      <c r="C14" s="19" t="s">
        <v>31</v>
      </c>
      <c r="D14" s="57"/>
      <c r="E14" s="57"/>
      <c r="F14" s="8" t="e">
        <f>ROUND(E14/D14%,1)</f>
        <v>#DIV/0!</v>
      </c>
      <c r="G14" s="9" t="s">
        <v>12</v>
      </c>
      <c r="H14" s="212" t="e">
        <f>'норм. ХВС для ПО (4-3) '!F19</f>
        <v>#DIV/0!</v>
      </c>
      <c r="I14" s="20"/>
      <c r="J14" s="11"/>
      <c r="K14" s="21" t="s">
        <v>32</v>
      </c>
      <c r="L14" s="56" t="e">
        <f>ROUND(H14*J14*6/1000,5)</f>
        <v>#DIV/0!</v>
      </c>
      <c r="M14" s="49" t="e">
        <f>ROUND(D14*L14,3)</f>
        <v>#DIV/0!</v>
      </c>
      <c r="N14" s="49" t="e">
        <f>ROUND(E14*L14,3)</f>
        <v>#DIV/0!</v>
      </c>
      <c r="O14" s="57"/>
      <c r="P14" s="57"/>
      <c r="Q14" s="8" t="e">
        <f>ROUND(P14/O14%,1)</f>
        <v>#DIV/0!</v>
      </c>
      <c r="R14" s="9" t="s">
        <v>12</v>
      </c>
      <c r="S14" s="57" t="e">
        <f>'норм. ХВС для ПО (4-3) '!K19</f>
        <v>#DIV/0!</v>
      </c>
      <c r="T14" s="10"/>
      <c r="U14" s="11"/>
      <c r="V14" s="21" t="s">
        <v>32</v>
      </c>
      <c r="W14" s="234" t="e">
        <f>ROUND(S14*U14*6/1000,5)</f>
        <v>#DIV/0!</v>
      </c>
      <c r="X14" s="49" t="e">
        <f>ROUND(O14*W14,3)</f>
        <v>#DIV/0!</v>
      </c>
      <c r="Y14" s="49" t="e">
        <f>ROUND(P14*W14,3)</f>
        <v>#DIV/0!</v>
      </c>
      <c r="Z14" s="8" t="e">
        <f t="shared" si="1"/>
        <v>#DIV/0!</v>
      </c>
      <c r="AA14" s="8" t="e">
        <f t="shared" si="1"/>
        <v>#DIV/0!</v>
      </c>
      <c r="AB14" s="52" t="e">
        <f>X14-Y14</f>
        <v>#DIV/0!</v>
      </c>
      <c r="AD14" s="233" t="e">
        <f>X14-AB28</f>
        <v>#DIV/0!</v>
      </c>
    </row>
    <row r="15" spans="1:28" s="13" customFormat="1" ht="12.75">
      <c r="A15" s="6">
        <v>2</v>
      </c>
      <c r="B15" s="509" t="s">
        <v>35</v>
      </c>
      <c r="C15" s="512"/>
      <c r="D15" s="57" t="e">
        <f>ROUND(M15/L15,5)</f>
        <v>#DIV/0!</v>
      </c>
      <c r="E15" s="57" t="e">
        <f>ROUND(N15/L15,5)</f>
        <v>#DIV/0!</v>
      </c>
      <c r="F15" s="8"/>
      <c r="G15" s="9"/>
      <c r="H15" s="212" t="e">
        <f>ROUND(L15/J15/6*1000,5)</f>
        <v>#DIV/0!</v>
      </c>
      <c r="I15" s="16">
        <f>I16+I17</f>
        <v>0</v>
      </c>
      <c r="J15" s="17">
        <f>J16+J17</f>
        <v>0</v>
      </c>
      <c r="K15" s="17"/>
      <c r="L15" s="55">
        <f>L16+L17</f>
        <v>0</v>
      </c>
      <c r="M15" s="12">
        <f>M16+M17</f>
        <v>0</v>
      </c>
      <c r="N15" s="12">
        <f>N16+N17</f>
        <v>0</v>
      </c>
      <c r="O15" s="57" t="e">
        <f>ROUND(X15/W15,5)</f>
        <v>#DIV/0!</v>
      </c>
      <c r="P15" s="57" t="e">
        <f>ROUND(Y15/W15,5)</f>
        <v>#DIV/0!</v>
      </c>
      <c r="Q15" s="8"/>
      <c r="R15" s="9"/>
      <c r="S15" s="57" t="e">
        <f>ROUND(W15/U15/6*1000,5)</f>
        <v>#DIV/0!</v>
      </c>
      <c r="T15" s="16">
        <f>T16+T17</f>
        <v>0</v>
      </c>
      <c r="U15" s="17">
        <f>U16+U17</f>
        <v>0</v>
      </c>
      <c r="V15" s="21"/>
      <c r="W15" s="206">
        <f>W16+W17</f>
        <v>0</v>
      </c>
      <c r="X15" s="12">
        <f>X16+X17</f>
        <v>0</v>
      </c>
      <c r="Y15" s="12">
        <f>Y16+Y17</f>
        <v>0</v>
      </c>
      <c r="Z15" s="213" t="e">
        <f t="shared" si="1"/>
        <v>#DIV/0!</v>
      </c>
      <c r="AA15" s="213" t="e">
        <f t="shared" si="1"/>
        <v>#DIV/0!</v>
      </c>
      <c r="AB15" s="51">
        <f>AB16+AB17</f>
        <v>0</v>
      </c>
    </row>
    <row r="16" spans="1:30" s="13" customFormat="1" ht="26.25" customHeight="1">
      <c r="A16" s="18" t="s">
        <v>9</v>
      </c>
      <c r="B16" s="155" t="s">
        <v>53</v>
      </c>
      <c r="C16" s="19" t="s">
        <v>31</v>
      </c>
      <c r="D16" s="57"/>
      <c r="E16" s="57"/>
      <c r="F16" s="8" t="e">
        <f>ROUND(E16/D16%,1)</f>
        <v>#DIV/0!</v>
      </c>
      <c r="G16" s="9"/>
      <c r="H16" s="214" t="s">
        <v>10</v>
      </c>
      <c r="I16" s="10"/>
      <c r="J16" s="15"/>
      <c r="K16" s="21" t="s">
        <v>32</v>
      </c>
      <c r="L16" s="56"/>
      <c r="M16" s="49">
        <f>ROUND(D16*L16,3)</f>
        <v>0</v>
      </c>
      <c r="N16" s="49">
        <f>ROUND(E16*L16,3)</f>
        <v>0</v>
      </c>
      <c r="O16" s="57"/>
      <c r="P16" s="57"/>
      <c r="Q16" s="8" t="e">
        <f>ROUND(P16/O16%,1)</f>
        <v>#DIV/0!</v>
      </c>
      <c r="R16" s="9"/>
      <c r="S16" s="58" t="s">
        <v>10</v>
      </c>
      <c r="T16" s="20"/>
      <c r="U16" s="15"/>
      <c r="V16" s="21" t="s">
        <v>32</v>
      </c>
      <c r="W16" s="234"/>
      <c r="X16" s="49">
        <f>ROUND(O16*W16,3)</f>
        <v>0</v>
      </c>
      <c r="Y16" s="49">
        <f>ROUND(P16*W16,3)</f>
        <v>0</v>
      </c>
      <c r="Z16" s="8" t="e">
        <f t="shared" si="1"/>
        <v>#DIV/0!</v>
      </c>
      <c r="AA16" s="8" t="e">
        <f t="shared" si="1"/>
        <v>#DIV/0!</v>
      </c>
      <c r="AB16" s="53">
        <f>X16-Y16</f>
        <v>0</v>
      </c>
      <c r="AD16" s="13" t="e">
        <f>AD14/W14</f>
        <v>#DIV/0!</v>
      </c>
    </row>
    <row r="17" spans="1:28" s="13" customFormat="1" ht="38.25">
      <c r="A17" s="18" t="s">
        <v>11</v>
      </c>
      <c r="B17" s="155" t="s">
        <v>48</v>
      </c>
      <c r="C17" s="19" t="s">
        <v>31</v>
      </c>
      <c r="D17" s="57"/>
      <c r="E17" s="57"/>
      <c r="F17" s="8" t="e">
        <f>ROUND(E17/D17%,1)</f>
        <v>#DIV/0!</v>
      </c>
      <c r="G17" s="9" t="s">
        <v>12</v>
      </c>
      <c r="H17" s="212"/>
      <c r="I17" s="10"/>
      <c r="J17" s="11"/>
      <c r="K17" s="21" t="s">
        <v>32</v>
      </c>
      <c r="L17" s="56">
        <f>ROUND(H17*J17*6/1000,5)</f>
        <v>0</v>
      </c>
      <c r="M17" s="49">
        <f>ROUND(D17*L17,3)</f>
        <v>0</v>
      </c>
      <c r="N17" s="49">
        <f>ROUND(E17*L17,3)</f>
        <v>0</v>
      </c>
      <c r="O17" s="57"/>
      <c r="P17" s="57"/>
      <c r="Q17" s="8" t="e">
        <f>ROUND(P17/O17%,1)</f>
        <v>#DIV/0!</v>
      </c>
      <c r="R17" s="9" t="s">
        <v>12</v>
      </c>
      <c r="S17" s="57"/>
      <c r="T17" s="20"/>
      <c r="U17" s="11"/>
      <c r="V17" s="21" t="s">
        <v>32</v>
      </c>
      <c r="W17" s="234">
        <f>ROUND(S17*U17*6/1000,5)</f>
        <v>0</v>
      </c>
      <c r="X17" s="49">
        <f>ROUND(O17*W17,3)</f>
        <v>0</v>
      </c>
      <c r="Y17" s="49">
        <f>ROUND(P17*W17,3)</f>
        <v>0</v>
      </c>
      <c r="Z17" s="8" t="e">
        <f t="shared" si="1"/>
        <v>#DIV/0!</v>
      </c>
      <c r="AA17" s="8" t="e">
        <f t="shared" si="1"/>
        <v>#DIV/0!</v>
      </c>
      <c r="AB17" s="53">
        <f>X17-Y17</f>
        <v>0</v>
      </c>
    </row>
    <row r="18" spans="1:28" s="13" customFormat="1" ht="28.5" customHeight="1">
      <c r="A18" s="6">
        <v>3</v>
      </c>
      <c r="B18" s="7" t="s">
        <v>36</v>
      </c>
      <c r="C18" s="21" t="s">
        <v>31</v>
      </c>
      <c r="D18" s="57"/>
      <c r="E18" s="57"/>
      <c r="F18" s="8" t="e">
        <f>ROUND(E18/D18%,1)</f>
        <v>#DIV/0!</v>
      </c>
      <c r="G18" s="9" t="s">
        <v>12</v>
      </c>
      <c r="H18" s="212"/>
      <c r="I18" s="10"/>
      <c r="J18" s="15"/>
      <c r="K18" s="21" t="s">
        <v>32</v>
      </c>
      <c r="L18" s="55">
        <f>ROUND(H18*J18*6/1000,5)</f>
        <v>0</v>
      </c>
      <c r="M18" s="48">
        <f>ROUND(D18*L18,3)</f>
        <v>0</v>
      </c>
      <c r="N18" s="48">
        <f>ROUND(E18*L18,3)</f>
        <v>0</v>
      </c>
      <c r="O18" s="57"/>
      <c r="P18" s="57"/>
      <c r="Q18" s="8" t="e">
        <f>ROUND(P18/O18%,1)</f>
        <v>#DIV/0!</v>
      </c>
      <c r="R18" s="9" t="s">
        <v>12</v>
      </c>
      <c r="S18" s="57"/>
      <c r="T18" s="10"/>
      <c r="U18" s="15"/>
      <c r="V18" s="21" t="s">
        <v>32</v>
      </c>
      <c r="W18" s="55">
        <f>ROUND(S18*U18*6/1000,5)</f>
        <v>0</v>
      </c>
      <c r="X18" s="48">
        <f>ROUND(O18*W18,3)</f>
        <v>0</v>
      </c>
      <c r="Y18" s="48">
        <f>ROUND(P18*W18,3)</f>
        <v>0</v>
      </c>
      <c r="Z18" s="213" t="e">
        <f t="shared" si="1"/>
        <v>#DIV/0!</v>
      </c>
      <c r="AA18" s="213" t="e">
        <f t="shared" si="1"/>
        <v>#DIV/0!</v>
      </c>
      <c r="AB18" s="51">
        <f>X18-Y18</f>
        <v>0</v>
      </c>
    </row>
    <row r="19" spans="1:28" s="13" customFormat="1" ht="12.75">
      <c r="A19" s="6">
        <v>4</v>
      </c>
      <c r="B19" s="7" t="s">
        <v>16</v>
      </c>
      <c r="C19" s="21"/>
      <c r="D19" s="57" t="e">
        <f>ROUND(M19/L19,5)</f>
        <v>#DIV/0!</v>
      </c>
      <c r="E19" s="57" t="e">
        <f>ROUND(N19/L19,5)</f>
        <v>#DIV/0!</v>
      </c>
      <c r="F19" s="8"/>
      <c r="G19" s="9"/>
      <c r="H19" s="212" t="e">
        <f>ROUND(L19/J19/6*1000,5)</f>
        <v>#DIV/0!</v>
      </c>
      <c r="I19" s="12">
        <f>I20+I21+I22</f>
        <v>0</v>
      </c>
      <c r="J19" s="17">
        <f>J20+J21+J22</f>
        <v>0</v>
      </c>
      <c r="K19" s="17"/>
      <c r="L19" s="55">
        <f>L20+L21+L22</f>
        <v>0</v>
      </c>
      <c r="M19" s="48">
        <f>M20+M21+M22</f>
        <v>0</v>
      </c>
      <c r="N19" s="48">
        <f>N20+N21+N22</f>
        <v>0</v>
      </c>
      <c r="O19" s="57" t="e">
        <f>ROUND(X19/W19,5)</f>
        <v>#DIV/0!</v>
      </c>
      <c r="P19" s="57" t="e">
        <f>ROUND(Y19/W19,5)</f>
        <v>#DIV/0!</v>
      </c>
      <c r="Q19" s="8"/>
      <c r="R19" s="9"/>
      <c r="S19" s="57" t="e">
        <f>ROUND(W19/U19/12,2)</f>
        <v>#DIV/0!</v>
      </c>
      <c r="T19" s="12">
        <f>T20+T21+T22</f>
        <v>0</v>
      </c>
      <c r="U19" s="17">
        <f>U20+U21+U22</f>
        <v>0</v>
      </c>
      <c r="V19" s="17"/>
      <c r="W19" s="55">
        <f>W20+W21+W22</f>
        <v>0</v>
      </c>
      <c r="X19" s="48">
        <f>X20+X21+X22</f>
        <v>0</v>
      </c>
      <c r="Y19" s="48">
        <f>Y20+Y21+Y22</f>
        <v>0</v>
      </c>
      <c r="Z19" s="213" t="e">
        <f t="shared" si="1"/>
        <v>#DIV/0!</v>
      </c>
      <c r="AA19" s="213" t="e">
        <f t="shared" si="1"/>
        <v>#DIV/0!</v>
      </c>
      <c r="AB19" s="51">
        <f>AB20+AB21+AB22</f>
        <v>0</v>
      </c>
    </row>
    <row r="20" spans="1:28" s="13" customFormat="1" ht="25.5">
      <c r="A20" s="24" t="s">
        <v>14</v>
      </c>
      <c r="B20" s="25" t="s">
        <v>18</v>
      </c>
      <c r="C20" s="21" t="s">
        <v>19</v>
      </c>
      <c r="D20" s="57"/>
      <c r="E20" s="57"/>
      <c r="F20" s="8" t="e">
        <f>ROUND(E20/D20%,1)</f>
        <v>#DIV/0!</v>
      </c>
      <c r="G20" s="9" t="s">
        <v>20</v>
      </c>
      <c r="H20" s="212"/>
      <c r="I20" s="215"/>
      <c r="J20" s="216"/>
      <c r="K20" s="21" t="s">
        <v>21</v>
      </c>
      <c r="L20" s="217">
        <f>ROUND(H20*J20*6/1000,5)</f>
        <v>0</v>
      </c>
      <c r="M20" s="49">
        <f>ROUND(D20*L20,3)</f>
        <v>0</v>
      </c>
      <c r="N20" s="49">
        <f>ROUND(E20*L20,3)</f>
        <v>0</v>
      </c>
      <c r="O20" s="57"/>
      <c r="P20" s="57"/>
      <c r="Q20" s="8" t="e">
        <f>ROUND(P20/O20%,1)</f>
        <v>#DIV/0!</v>
      </c>
      <c r="R20" s="9" t="s">
        <v>20</v>
      </c>
      <c r="S20" s="57">
        <f>H20</f>
        <v>0</v>
      </c>
      <c r="T20" s="215"/>
      <c r="U20" s="216"/>
      <c r="V20" s="21" t="s">
        <v>21</v>
      </c>
      <c r="W20" s="217">
        <f>ROUND(S20*U20*6/1000,5)</f>
        <v>0</v>
      </c>
      <c r="X20" s="49">
        <f>ROUND(O20*W20,3)</f>
        <v>0</v>
      </c>
      <c r="Y20" s="49">
        <f>ROUND(P20*W20,3)</f>
        <v>0</v>
      </c>
      <c r="Z20" s="8" t="e">
        <f t="shared" si="1"/>
        <v>#DIV/0!</v>
      </c>
      <c r="AA20" s="8" t="e">
        <f t="shared" si="1"/>
        <v>#DIV/0!</v>
      </c>
      <c r="AB20" s="52">
        <f>X20-Y20</f>
        <v>0</v>
      </c>
    </row>
    <row r="21" spans="1:28" s="13" customFormat="1" ht="25.5" customHeight="1">
      <c r="A21" s="24" t="s">
        <v>15</v>
      </c>
      <c r="B21" s="25" t="s">
        <v>23</v>
      </c>
      <c r="C21" s="21" t="s">
        <v>19</v>
      </c>
      <c r="D21" s="57"/>
      <c r="E21" s="57"/>
      <c r="F21" s="8" t="e">
        <f>ROUND(E21/D21%,1)</f>
        <v>#DIV/0!</v>
      </c>
      <c r="G21" s="9" t="s">
        <v>20</v>
      </c>
      <c r="H21" s="212"/>
      <c r="I21" s="215"/>
      <c r="J21" s="216"/>
      <c r="K21" s="21" t="s">
        <v>21</v>
      </c>
      <c r="L21" s="217">
        <f>ROUND(H21*J21*6/1000,5)</f>
        <v>0</v>
      </c>
      <c r="M21" s="49">
        <f>ROUND(D21*L21,3)</f>
        <v>0</v>
      </c>
      <c r="N21" s="49">
        <f>ROUND(E21*L21,3)</f>
        <v>0</v>
      </c>
      <c r="O21" s="57"/>
      <c r="P21" s="57"/>
      <c r="Q21" s="8" t="e">
        <f>ROUND(P21/O21%,1)</f>
        <v>#DIV/0!</v>
      </c>
      <c r="R21" s="9" t="s">
        <v>20</v>
      </c>
      <c r="S21" s="57">
        <f>H21</f>
        <v>0</v>
      </c>
      <c r="T21" s="215"/>
      <c r="U21" s="216"/>
      <c r="V21" s="21" t="s">
        <v>21</v>
      </c>
      <c r="W21" s="217">
        <f>ROUND(S21*U21*6/1000,5)</f>
        <v>0</v>
      </c>
      <c r="X21" s="49">
        <f>ROUND(O21*W21,3)</f>
        <v>0</v>
      </c>
      <c r="Y21" s="49">
        <f>ROUND(P21*W21,3)</f>
        <v>0</v>
      </c>
      <c r="Z21" s="8" t="e">
        <f t="shared" si="1"/>
        <v>#DIV/0!</v>
      </c>
      <c r="AA21" s="8" t="e">
        <f t="shared" si="1"/>
        <v>#DIV/0!</v>
      </c>
      <c r="AB21" s="52">
        <f>X21-Y21</f>
        <v>0</v>
      </c>
    </row>
    <row r="22" spans="1:28" s="13" customFormat="1" ht="25.5">
      <c r="A22" s="24" t="s">
        <v>139</v>
      </c>
      <c r="B22" s="25" t="s">
        <v>24</v>
      </c>
      <c r="C22" s="21" t="s">
        <v>19</v>
      </c>
      <c r="D22" s="57"/>
      <c r="E22" s="57"/>
      <c r="F22" s="8" t="e">
        <f>ROUND(E22/D22%,1)</f>
        <v>#DIV/0!</v>
      </c>
      <c r="G22" s="9" t="s">
        <v>20</v>
      </c>
      <c r="H22" s="212"/>
      <c r="I22" s="215"/>
      <c r="J22" s="216"/>
      <c r="K22" s="21" t="s">
        <v>21</v>
      </c>
      <c r="L22" s="217">
        <f>ROUND(H22*J22*6/1000,5)</f>
        <v>0</v>
      </c>
      <c r="M22" s="49">
        <f>ROUND(D22*L22,3)</f>
        <v>0</v>
      </c>
      <c r="N22" s="49">
        <f>ROUND(E22*L22,3)</f>
        <v>0</v>
      </c>
      <c r="O22" s="57"/>
      <c r="P22" s="57"/>
      <c r="Q22" s="8" t="e">
        <f>ROUND(P22/O22%,1)</f>
        <v>#DIV/0!</v>
      </c>
      <c r="R22" s="9" t="s">
        <v>20</v>
      </c>
      <c r="S22" s="57">
        <f>H22</f>
        <v>0</v>
      </c>
      <c r="T22" s="215"/>
      <c r="U22" s="216"/>
      <c r="V22" s="21" t="s">
        <v>21</v>
      </c>
      <c r="W22" s="217">
        <f>ROUND(S22*U22*6/1000,5)</f>
        <v>0</v>
      </c>
      <c r="X22" s="49">
        <f>ROUND(O22*W22,3)</f>
        <v>0</v>
      </c>
      <c r="Y22" s="49">
        <f>ROUND(P22*W22,3)</f>
        <v>0</v>
      </c>
      <c r="Z22" s="8" t="e">
        <f t="shared" si="1"/>
        <v>#DIV/0!</v>
      </c>
      <c r="AA22" s="8" t="e">
        <f t="shared" si="1"/>
        <v>#DIV/0!</v>
      </c>
      <c r="AB22" s="52">
        <f>X22-Y22</f>
        <v>0</v>
      </c>
    </row>
    <row r="23" spans="1:28" s="45" customFormat="1" ht="12.75">
      <c r="A23" s="6">
        <v>5</v>
      </c>
      <c r="B23" s="7" t="s">
        <v>25</v>
      </c>
      <c r="C23" s="43"/>
      <c r="D23" s="59"/>
      <c r="E23" s="59"/>
      <c r="F23" s="23" t="e">
        <f>ROUND(E23/D23%,1)</f>
        <v>#DIV/0!</v>
      </c>
      <c r="G23" s="44" t="s">
        <v>26</v>
      </c>
      <c r="H23" s="218"/>
      <c r="I23" s="16"/>
      <c r="J23" s="17"/>
      <c r="K23" s="43" t="s">
        <v>27</v>
      </c>
      <c r="L23" s="55">
        <f>ROUND(H23*J23*6/1000,5)</f>
        <v>0</v>
      </c>
      <c r="M23" s="48">
        <f>ROUND(D23*L23,3)</f>
        <v>0</v>
      </c>
      <c r="N23" s="48">
        <f>ROUND(E23*L23,3)</f>
        <v>0</v>
      </c>
      <c r="O23" s="59"/>
      <c r="P23" s="59"/>
      <c r="Q23" s="23" t="e">
        <f>ROUND(P23/O23%,1)</f>
        <v>#DIV/0!</v>
      </c>
      <c r="R23" s="44" t="s">
        <v>26</v>
      </c>
      <c r="S23" s="59">
        <f>H23</f>
        <v>0</v>
      </c>
      <c r="T23" s="16"/>
      <c r="U23" s="17"/>
      <c r="V23" s="43" t="s">
        <v>27</v>
      </c>
      <c r="W23" s="206">
        <f>ROUND(S23*U23*6/1000,5)</f>
        <v>0</v>
      </c>
      <c r="X23" s="48">
        <f>ROUND(O23*W23,3)</f>
        <v>0</v>
      </c>
      <c r="Y23" s="48">
        <f>ROUND(P23*W23,3)</f>
        <v>0</v>
      </c>
      <c r="Z23" s="213" t="e">
        <f t="shared" si="1"/>
        <v>#DIV/0!</v>
      </c>
      <c r="AA23" s="213" t="e">
        <f t="shared" si="1"/>
        <v>#DIV/0!</v>
      </c>
      <c r="AB23" s="51">
        <f>X23-Y23</f>
        <v>0</v>
      </c>
    </row>
    <row r="24" spans="1:28" s="13" customFormat="1" ht="12.75">
      <c r="A24" s="6">
        <v>6</v>
      </c>
      <c r="B24" s="7" t="s">
        <v>140</v>
      </c>
      <c r="C24" s="22"/>
      <c r="D24" s="57" t="e">
        <f>ROUND(M24/L24,5)</f>
        <v>#DIV/0!</v>
      </c>
      <c r="E24" s="57" t="e">
        <f>ROUND(N24/L24,5)</f>
        <v>#DIV/0!</v>
      </c>
      <c r="F24" s="8"/>
      <c r="G24" s="8"/>
      <c r="H24" s="212" t="e">
        <f>ROUND(L24/I24/6,5)</f>
        <v>#DIV/0!</v>
      </c>
      <c r="I24" s="12">
        <f>I25+I26</f>
        <v>0</v>
      </c>
      <c r="J24" s="17">
        <f>J25+J26</f>
        <v>0</v>
      </c>
      <c r="K24" s="21"/>
      <c r="L24" s="219">
        <f>L25+L26</f>
        <v>0</v>
      </c>
      <c r="M24" s="48">
        <f>M25+M26</f>
        <v>0</v>
      </c>
      <c r="N24" s="48">
        <f>N25+N26</f>
        <v>0</v>
      </c>
      <c r="O24" s="57"/>
      <c r="P24" s="57"/>
      <c r="Q24" s="8"/>
      <c r="R24" s="8"/>
      <c r="S24" s="57" t="e">
        <f>ROUND(W24/T24/6,5)</f>
        <v>#DIV/0!</v>
      </c>
      <c r="T24" s="12">
        <f>T25+T26</f>
        <v>0</v>
      </c>
      <c r="U24" s="17">
        <f>U25+U26</f>
        <v>0</v>
      </c>
      <c r="V24" s="21"/>
      <c r="W24" s="219">
        <f>W25+W26</f>
        <v>0</v>
      </c>
      <c r="X24" s="48">
        <f>X25+X26</f>
        <v>0</v>
      </c>
      <c r="Y24" s="48">
        <f>Y25+Y26</f>
        <v>0</v>
      </c>
      <c r="Z24" s="213" t="e">
        <f t="shared" si="1"/>
        <v>#DIV/0!</v>
      </c>
      <c r="AA24" s="213" t="e">
        <f t="shared" si="1"/>
        <v>#DIV/0!</v>
      </c>
      <c r="AB24" s="51">
        <f>AB25+AB26</f>
        <v>0</v>
      </c>
    </row>
    <row r="25" spans="1:28" s="13" customFormat="1" ht="12.75">
      <c r="A25" s="14" t="s">
        <v>17</v>
      </c>
      <c r="B25" s="22" t="s">
        <v>141</v>
      </c>
      <c r="C25" s="220" t="s">
        <v>142</v>
      </c>
      <c r="D25" s="57"/>
      <c r="E25" s="57"/>
      <c r="F25" s="8" t="e">
        <f>ROUND(E25/D25%,1)</f>
        <v>#DIV/0!</v>
      </c>
      <c r="G25" s="8" t="s">
        <v>143</v>
      </c>
      <c r="H25" s="212"/>
      <c r="I25" s="8"/>
      <c r="J25" s="15"/>
      <c r="K25" s="21" t="s">
        <v>144</v>
      </c>
      <c r="L25" s="56">
        <f>ROUND(H25*I25*6,5)</f>
        <v>0</v>
      </c>
      <c r="M25" s="49">
        <f>ROUND(D25*L25,3)</f>
        <v>0</v>
      </c>
      <c r="N25" s="49">
        <f>ROUND(E25*L25,3)</f>
        <v>0</v>
      </c>
      <c r="O25" s="57"/>
      <c r="P25" s="57"/>
      <c r="Q25" s="8" t="e">
        <f>ROUND(P25/O25%,1)</f>
        <v>#DIV/0!</v>
      </c>
      <c r="R25" s="8" t="s">
        <v>143</v>
      </c>
      <c r="S25" s="57"/>
      <c r="T25" s="8"/>
      <c r="U25" s="15"/>
      <c r="V25" s="21" t="s">
        <v>144</v>
      </c>
      <c r="W25" s="56">
        <f>ROUND(S25*T25*6,5)</f>
        <v>0</v>
      </c>
      <c r="X25" s="49">
        <f>ROUND(O25*W25,3)</f>
        <v>0</v>
      </c>
      <c r="Y25" s="49">
        <f>ROUND(P25*W25,3)</f>
        <v>0</v>
      </c>
      <c r="Z25" s="8" t="e">
        <f t="shared" si="1"/>
        <v>#DIV/0!</v>
      </c>
      <c r="AA25" s="8" t="e">
        <f t="shared" si="1"/>
        <v>#DIV/0!</v>
      </c>
      <c r="AB25" s="52">
        <f>X25-Y25</f>
        <v>0</v>
      </c>
    </row>
    <row r="26" spans="1:28" s="13" customFormat="1" ht="13.5">
      <c r="A26" s="14" t="s">
        <v>22</v>
      </c>
      <c r="B26" s="22" t="s">
        <v>129</v>
      </c>
      <c r="C26" s="19" t="s">
        <v>31</v>
      </c>
      <c r="D26" s="57"/>
      <c r="E26" s="57"/>
      <c r="F26" s="8" t="e">
        <f>ROUND(E26/D26%,1)</f>
        <v>#DIV/0!</v>
      </c>
      <c r="G26" s="9" t="s">
        <v>145</v>
      </c>
      <c r="H26" s="212"/>
      <c r="I26" s="8"/>
      <c r="J26" s="15"/>
      <c r="K26" s="21" t="s">
        <v>32</v>
      </c>
      <c r="L26" s="56">
        <f>ROUND(H26*I26*6,5)</f>
        <v>0</v>
      </c>
      <c r="M26" s="49">
        <f>ROUND(D26*L26,3)</f>
        <v>0</v>
      </c>
      <c r="N26" s="49">
        <f>ROUND(E26*L26,3)</f>
        <v>0</v>
      </c>
      <c r="O26" s="57"/>
      <c r="P26" s="57"/>
      <c r="Q26" s="8" t="e">
        <f>ROUND(P26/O26%,1)</f>
        <v>#DIV/0!</v>
      </c>
      <c r="R26" s="9" t="s">
        <v>145</v>
      </c>
      <c r="S26" s="57"/>
      <c r="T26" s="8"/>
      <c r="U26" s="15"/>
      <c r="V26" s="21" t="s">
        <v>32</v>
      </c>
      <c r="W26" s="56">
        <f>ROUND(S26*T26*6,5)</f>
        <v>0</v>
      </c>
      <c r="X26" s="49">
        <f>ROUND(O26*W26,3)</f>
        <v>0</v>
      </c>
      <c r="Y26" s="49">
        <f>ROUND(P26*W26,3)</f>
        <v>0</v>
      </c>
      <c r="Z26" s="8" t="e">
        <f t="shared" si="1"/>
        <v>#DIV/0!</v>
      </c>
      <c r="AA26" s="8" t="e">
        <f t="shared" si="1"/>
        <v>#DIV/0!</v>
      </c>
      <c r="AB26" s="52">
        <f>X26-Y26</f>
        <v>0</v>
      </c>
    </row>
    <row r="27" spans="1:28" s="28" customFormat="1" ht="12.75">
      <c r="A27" s="26"/>
      <c r="B27" s="26" t="s">
        <v>28</v>
      </c>
      <c r="C27" s="26"/>
      <c r="D27" s="221" t="s">
        <v>10</v>
      </c>
      <c r="E27" s="221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22" t="e">
        <f>M12+M15+M18+M19+M23+M24</f>
        <v>#DIV/0!</v>
      </c>
      <c r="N27" s="222" t="e">
        <f>N12+N15+N18+N19+N23+N24</f>
        <v>#DIV/0!</v>
      </c>
      <c r="O27" s="27" t="s">
        <v>10</v>
      </c>
      <c r="P27" s="27" t="s">
        <v>10</v>
      </c>
      <c r="Q27" s="27" t="s">
        <v>10</v>
      </c>
      <c r="R27" s="27" t="s">
        <v>10</v>
      </c>
      <c r="S27" s="27" t="s">
        <v>10</v>
      </c>
      <c r="T27" s="27" t="s">
        <v>10</v>
      </c>
      <c r="U27" s="27" t="s">
        <v>10</v>
      </c>
      <c r="V27" s="27" t="s">
        <v>10</v>
      </c>
      <c r="W27" s="27" t="s">
        <v>10</v>
      </c>
      <c r="X27" s="222" t="e">
        <f>X12+X15+X18+X19+X23+X24</f>
        <v>#DIV/0!</v>
      </c>
      <c r="Y27" s="222" t="e">
        <f>Y12+Y15+Y18+Y19+Y23+Y24</f>
        <v>#DIV/0!</v>
      </c>
      <c r="Z27" s="213" t="e">
        <f t="shared" si="1"/>
        <v>#DIV/0!</v>
      </c>
      <c r="AA27" s="213" t="e">
        <f>ROUND(Y27/N27,1)</f>
        <v>#DIV/0!</v>
      </c>
      <c r="AB27" s="223" t="e">
        <f>ROUND(X27-Y27,3)</f>
        <v>#DIV/0!</v>
      </c>
    </row>
    <row r="28" spans="1:28" s="30" customFormat="1" ht="39.75" customHeight="1">
      <c r="A28" s="29"/>
      <c r="B28" s="513" t="s">
        <v>149</v>
      </c>
      <c r="C28" s="514"/>
      <c r="D28" s="221" t="s">
        <v>10</v>
      </c>
      <c r="E28" s="221" t="s">
        <v>10</v>
      </c>
      <c r="F28" s="27" t="s">
        <v>10</v>
      </c>
      <c r="G28" s="27" t="s">
        <v>10</v>
      </c>
      <c r="H28" s="27" t="s">
        <v>10</v>
      </c>
      <c r="I28" s="27" t="s">
        <v>10</v>
      </c>
      <c r="J28" s="27" t="s">
        <v>10</v>
      </c>
      <c r="K28" s="27" t="s">
        <v>10</v>
      </c>
      <c r="L28" s="27" t="s">
        <v>10</v>
      </c>
      <c r="M28" s="27" t="s">
        <v>10</v>
      </c>
      <c r="N28" s="27" t="s">
        <v>10</v>
      </c>
      <c r="O28" s="27" t="s">
        <v>10</v>
      </c>
      <c r="P28" s="27" t="s">
        <v>10</v>
      </c>
      <c r="Q28" s="27" t="s">
        <v>10</v>
      </c>
      <c r="R28" s="27" t="s">
        <v>10</v>
      </c>
      <c r="S28" s="27" t="s">
        <v>10</v>
      </c>
      <c r="T28" s="27" t="s">
        <v>10</v>
      </c>
      <c r="U28" s="27" t="s">
        <v>10</v>
      </c>
      <c r="V28" s="27" t="s">
        <v>10</v>
      </c>
      <c r="W28" s="27" t="s">
        <v>10</v>
      </c>
      <c r="X28" s="27" t="s">
        <v>10</v>
      </c>
      <c r="Y28" s="50" t="e">
        <f>ROUND(N27*1,3)</f>
        <v>#DIV/0!</v>
      </c>
      <c r="Z28" s="27" t="s">
        <v>10</v>
      </c>
      <c r="AA28" s="224" t="e">
        <f>ROUND(Y28/N27,4)</f>
        <v>#DIV/0!</v>
      </c>
      <c r="AB28" s="50" t="e">
        <f>ROUND(X27-Y28,3)</f>
        <v>#DIV/0!</v>
      </c>
    </row>
    <row r="29" spans="1:28" s="30" customFormat="1" ht="18" customHeight="1">
      <c r="A29" s="225"/>
      <c r="B29" s="515" t="s">
        <v>293</v>
      </c>
      <c r="C29" s="516"/>
      <c r="D29" s="516"/>
      <c r="E29" s="226"/>
      <c r="F29" s="226"/>
      <c r="G29" s="226"/>
      <c r="H29" s="226"/>
      <c r="I29" s="226"/>
      <c r="J29" s="226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9"/>
      <c r="Z29" s="228"/>
      <c r="AA29" s="230"/>
      <c r="AB29" s="231"/>
    </row>
    <row r="30" spans="1:28" s="13" customFormat="1" ht="12.75">
      <c r="A30" s="211">
        <v>1</v>
      </c>
      <c r="B30" s="509" t="s">
        <v>13</v>
      </c>
      <c r="C30" s="510"/>
      <c r="D30" s="57" t="e">
        <f>ROUND(M30/L30,5)</f>
        <v>#DIV/0!</v>
      </c>
      <c r="E30" s="57" t="e">
        <f>ROUND(N30/L30,5)</f>
        <v>#DIV/0!</v>
      </c>
      <c r="F30" s="8"/>
      <c r="G30" s="9"/>
      <c r="H30" s="57" t="e">
        <f>ROUND(L30/J30/6*1000,5)</f>
        <v>#DIV/0!</v>
      </c>
      <c r="I30" s="16">
        <f>I31+I32</f>
        <v>0</v>
      </c>
      <c r="J30" s="17">
        <f>J31+J32</f>
        <v>0</v>
      </c>
      <c r="K30" s="17"/>
      <c r="L30" s="55">
        <f>L31+L32</f>
        <v>0</v>
      </c>
      <c r="M30" s="48">
        <f>M31+M32</f>
        <v>0</v>
      </c>
      <c r="N30" s="48">
        <f>N31+N32</f>
        <v>0</v>
      </c>
      <c r="O30" s="57" t="e">
        <f>ROUND(X30/W30,5)</f>
        <v>#DIV/0!</v>
      </c>
      <c r="P30" s="57" t="e">
        <f>ROUND(Y30/W30,5)</f>
        <v>#DIV/0!</v>
      </c>
      <c r="Q30" s="8"/>
      <c r="R30" s="9"/>
      <c r="S30" s="57" t="e">
        <f>ROUND(W30/U30/6*1000,5)</f>
        <v>#DIV/0!</v>
      </c>
      <c r="T30" s="16">
        <f>T31+T32</f>
        <v>0</v>
      </c>
      <c r="U30" s="17">
        <f>U31+U32</f>
        <v>0</v>
      </c>
      <c r="V30" s="21"/>
      <c r="W30" s="55" t="e">
        <f>W31+W32</f>
        <v>#DIV/0!</v>
      </c>
      <c r="X30" s="48" t="e">
        <f>X31+X32</f>
        <v>#DIV/0!</v>
      </c>
      <c r="Y30" s="48" t="e">
        <f>Y31+Y32</f>
        <v>#DIV/0!</v>
      </c>
      <c r="Z30" s="213" t="e">
        <f aca="true" t="shared" si="2" ref="Z30:AA45">ROUND(X30/M30,4)</f>
        <v>#DIV/0!</v>
      </c>
      <c r="AA30" s="213" t="e">
        <f t="shared" si="2"/>
        <v>#DIV/0!</v>
      </c>
      <c r="AB30" s="51" t="e">
        <f>AB31+AB32</f>
        <v>#DIV/0!</v>
      </c>
    </row>
    <row r="31" spans="1:28" s="13" customFormat="1" ht="26.25" customHeight="1">
      <c r="A31" s="18" t="s">
        <v>33</v>
      </c>
      <c r="B31" s="155" t="s">
        <v>53</v>
      </c>
      <c r="C31" s="19" t="s">
        <v>31</v>
      </c>
      <c r="D31" s="57"/>
      <c r="E31" s="57"/>
      <c r="F31" s="8" t="e">
        <f>ROUND(E31/D31%,1)</f>
        <v>#DIV/0!</v>
      </c>
      <c r="G31" s="9"/>
      <c r="H31" s="58" t="s">
        <v>10</v>
      </c>
      <c r="I31" s="20"/>
      <c r="J31" s="15"/>
      <c r="K31" s="21" t="s">
        <v>32</v>
      </c>
      <c r="L31" s="56"/>
      <c r="M31" s="49">
        <f>ROUND(D31*L31,3)</f>
        <v>0</v>
      </c>
      <c r="N31" s="49">
        <f>ROUND(E31*L31,3)</f>
        <v>0</v>
      </c>
      <c r="O31" s="57"/>
      <c r="P31" s="57"/>
      <c r="Q31" s="8" t="e">
        <f>ROUND(P31/O31%,1)</f>
        <v>#DIV/0!</v>
      </c>
      <c r="R31" s="9"/>
      <c r="S31" s="58" t="s">
        <v>10</v>
      </c>
      <c r="T31" s="10"/>
      <c r="U31" s="15"/>
      <c r="V31" s="21" t="s">
        <v>32</v>
      </c>
      <c r="W31" s="56"/>
      <c r="X31" s="49">
        <f>ROUND(O31*W31,3)</f>
        <v>0</v>
      </c>
      <c r="Y31" s="49">
        <f>ROUND(P31*W31,3)</f>
        <v>0</v>
      </c>
      <c r="Z31" s="8" t="e">
        <f t="shared" si="2"/>
        <v>#DIV/0!</v>
      </c>
      <c r="AA31" s="8" t="e">
        <f t="shared" si="2"/>
        <v>#DIV/0!</v>
      </c>
      <c r="AB31" s="52">
        <f>X31-Y31</f>
        <v>0</v>
      </c>
    </row>
    <row r="32" spans="1:28" s="13" customFormat="1" ht="38.25">
      <c r="A32" s="18" t="s">
        <v>34</v>
      </c>
      <c r="B32" s="155" t="s">
        <v>48</v>
      </c>
      <c r="C32" s="19" t="s">
        <v>31</v>
      </c>
      <c r="D32" s="57"/>
      <c r="E32" s="57"/>
      <c r="F32" s="8" t="e">
        <f>ROUND(E32/D32%,1)</f>
        <v>#DIV/0!</v>
      </c>
      <c r="G32" s="9" t="s">
        <v>12</v>
      </c>
      <c r="H32" s="57"/>
      <c r="I32" s="20"/>
      <c r="J32" s="11"/>
      <c r="K32" s="21" t="s">
        <v>32</v>
      </c>
      <c r="L32" s="56">
        <f>ROUND(H32*J32*6/1000,5)</f>
        <v>0</v>
      </c>
      <c r="M32" s="49">
        <f>ROUND(D32*L32,3)</f>
        <v>0</v>
      </c>
      <c r="N32" s="49">
        <f>ROUND(E32*L32,3)</f>
        <v>0</v>
      </c>
      <c r="O32" s="57"/>
      <c r="P32" s="57"/>
      <c r="Q32" s="8" t="e">
        <f>ROUND(P32/O32%,1)</f>
        <v>#DIV/0!</v>
      </c>
      <c r="R32" s="9" t="s">
        <v>12</v>
      </c>
      <c r="S32" s="57" t="e">
        <f>'норм. ХВС для ПО (4-3) '!P19</f>
        <v>#DIV/0!</v>
      </c>
      <c r="T32" s="10"/>
      <c r="U32" s="11"/>
      <c r="V32" s="21" t="s">
        <v>32</v>
      </c>
      <c r="W32" s="234" t="e">
        <f>ROUND(S32*U32*6/1000,5)</f>
        <v>#DIV/0!</v>
      </c>
      <c r="X32" s="235" t="e">
        <f>ROUND(O32*W32,3)</f>
        <v>#DIV/0!</v>
      </c>
      <c r="Y32" s="235" t="e">
        <f>ROUND(P32*W32,3)</f>
        <v>#DIV/0!</v>
      </c>
      <c r="Z32" s="8" t="e">
        <f t="shared" si="2"/>
        <v>#DIV/0!</v>
      </c>
      <c r="AA32" s="8" t="e">
        <f t="shared" si="2"/>
        <v>#DIV/0!</v>
      </c>
      <c r="AB32" s="52" t="e">
        <f>X32-Y32</f>
        <v>#DIV/0!</v>
      </c>
    </row>
    <row r="33" spans="1:28" s="13" customFormat="1" ht="12.75">
      <c r="A33" s="6">
        <v>2</v>
      </c>
      <c r="B33" s="509" t="s">
        <v>35</v>
      </c>
      <c r="C33" s="512"/>
      <c r="D33" s="57" t="e">
        <f>ROUND(M33/L33,5)</f>
        <v>#DIV/0!</v>
      </c>
      <c r="E33" s="57" t="e">
        <f>ROUND(N33/L33,5)</f>
        <v>#DIV/0!</v>
      </c>
      <c r="F33" s="8"/>
      <c r="G33" s="9"/>
      <c r="H33" s="57" t="e">
        <f>ROUND(L33/J33/6*1000,5)</f>
        <v>#DIV/0!</v>
      </c>
      <c r="I33" s="16">
        <f>I34+I35</f>
        <v>0</v>
      </c>
      <c r="J33" s="17">
        <f>J34+J35</f>
        <v>0</v>
      </c>
      <c r="K33" s="17"/>
      <c r="L33" s="55">
        <f>L34+L35</f>
        <v>0</v>
      </c>
      <c r="M33" s="12">
        <f>M34+M35</f>
        <v>0</v>
      </c>
      <c r="N33" s="12">
        <f>N34+N35</f>
        <v>0</v>
      </c>
      <c r="O33" s="57" t="e">
        <f>ROUND(X33/W33,5)</f>
        <v>#DIV/0!</v>
      </c>
      <c r="P33" s="57" t="e">
        <f>ROUND(Y33/W33,5)</f>
        <v>#DIV/0!</v>
      </c>
      <c r="Q33" s="8"/>
      <c r="R33" s="9"/>
      <c r="S33" s="57" t="e">
        <f>ROUND(W33/U33/6*1000,5)</f>
        <v>#DIV/0!</v>
      </c>
      <c r="T33" s="16">
        <f>T34+T35</f>
        <v>0</v>
      </c>
      <c r="U33" s="17">
        <f>U34+U35</f>
        <v>0</v>
      </c>
      <c r="V33" s="21"/>
      <c r="W33" s="55">
        <f>W34+W35</f>
        <v>0</v>
      </c>
      <c r="X33" s="12">
        <f>X34+X35</f>
        <v>0</v>
      </c>
      <c r="Y33" s="12">
        <f>Y34+Y35</f>
        <v>0</v>
      </c>
      <c r="Z33" s="213" t="e">
        <f t="shared" si="2"/>
        <v>#DIV/0!</v>
      </c>
      <c r="AA33" s="213" t="e">
        <f t="shared" si="2"/>
        <v>#DIV/0!</v>
      </c>
      <c r="AB33" s="51">
        <f>AB34+AB35</f>
        <v>0</v>
      </c>
    </row>
    <row r="34" spans="1:28" s="13" customFormat="1" ht="26.25" customHeight="1">
      <c r="A34" s="18" t="s">
        <v>9</v>
      </c>
      <c r="B34" s="155" t="s">
        <v>53</v>
      </c>
      <c r="C34" s="19" t="s">
        <v>31</v>
      </c>
      <c r="D34" s="57"/>
      <c r="E34" s="57"/>
      <c r="F34" s="8" t="e">
        <f>ROUND(E34/D34%,1)</f>
        <v>#DIV/0!</v>
      </c>
      <c r="G34" s="9"/>
      <c r="H34" s="58" t="s">
        <v>10</v>
      </c>
      <c r="I34" s="10"/>
      <c r="J34" s="15"/>
      <c r="K34" s="21" t="s">
        <v>32</v>
      </c>
      <c r="L34" s="56"/>
      <c r="M34" s="49">
        <f>ROUND(D34*L34,3)</f>
        <v>0</v>
      </c>
      <c r="N34" s="49">
        <f>ROUND(E34*L34,3)</f>
        <v>0</v>
      </c>
      <c r="O34" s="57"/>
      <c r="P34" s="57"/>
      <c r="Q34" s="8" t="e">
        <f>ROUND(P34/O34%,1)</f>
        <v>#DIV/0!</v>
      </c>
      <c r="R34" s="9"/>
      <c r="S34" s="58" t="s">
        <v>10</v>
      </c>
      <c r="T34" s="20"/>
      <c r="U34" s="15"/>
      <c r="V34" s="21" t="s">
        <v>32</v>
      </c>
      <c r="W34" s="56"/>
      <c r="X34" s="49">
        <f>ROUND(O34*W34,3)</f>
        <v>0</v>
      </c>
      <c r="Y34" s="49">
        <f>ROUND(P34*W34,3)</f>
        <v>0</v>
      </c>
      <c r="Z34" s="8" t="e">
        <f t="shared" si="2"/>
        <v>#DIV/0!</v>
      </c>
      <c r="AA34" s="8" t="e">
        <f t="shared" si="2"/>
        <v>#DIV/0!</v>
      </c>
      <c r="AB34" s="53">
        <f>X34-Y34</f>
        <v>0</v>
      </c>
    </row>
    <row r="35" spans="1:28" s="13" customFormat="1" ht="38.25">
      <c r="A35" s="18" t="s">
        <v>11</v>
      </c>
      <c r="B35" s="155" t="s">
        <v>48</v>
      </c>
      <c r="C35" s="19" t="s">
        <v>31</v>
      </c>
      <c r="D35" s="57"/>
      <c r="E35" s="57"/>
      <c r="F35" s="8" t="e">
        <f>ROUND(E35/D35%,1)</f>
        <v>#DIV/0!</v>
      </c>
      <c r="G35" s="9" t="s">
        <v>12</v>
      </c>
      <c r="H35" s="57"/>
      <c r="I35" s="10"/>
      <c r="J35" s="11"/>
      <c r="K35" s="21" t="s">
        <v>32</v>
      </c>
      <c r="L35" s="56">
        <f>ROUND(H35*J35*6/1000,5)</f>
        <v>0</v>
      </c>
      <c r="M35" s="49">
        <f>ROUND(D35*L35,3)</f>
        <v>0</v>
      </c>
      <c r="N35" s="49">
        <f>ROUND(E35*L35,3)</f>
        <v>0</v>
      </c>
      <c r="O35" s="57"/>
      <c r="P35" s="57"/>
      <c r="Q35" s="8" t="e">
        <f>ROUND(P35/O35%,1)</f>
        <v>#DIV/0!</v>
      </c>
      <c r="R35" s="9" t="s">
        <v>12</v>
      </c>
      <c r="S35" s="57"/>
      <c r="T35" s="20"/>
      <c r="U35" s="11"/>
      <c r="V35" s="21" t="s">
        <v>32</v>
      </c>
      <c r="W35" s="234">
        <f>ROUND(S35*U35*6/1000,5)</f>
        <v>0</v>
      </c>
      <c r="X35" s="49">
        <f>ROUND(O35*W35,3)</f>
        <v>0</v>
      </c>
      <c r="Y35" s="49">
        <f>ROUND(P35*W35,3)</f>
        <v>0</v>
      </c>
      <c r="Z35" s="8" t="e">
        <f t="shared" si="2"/>
        <v>#DIV/0!</v>
      </c>
      <c r="AA35" s="8" t="e">
        <f t="shared" si="2"/>
        <v>#DIV/0!</v>
      </c>
      <c r="AB35" s="53">
        <f>X35-Y35</f>
        <v>0</v>
      </c>
    </row>
    <row r="36" spans="1:28" s="13" customFormat="1" ht="28.5" customHeight="1">
      <c r="A36" s="6">
        <v>3</v>
      </c>
      <c r="B36" s="7" t="s">
        <v>36</v>
      </c>
      <c r="C36" s="21" t="s">
        <v>31</v>
      </c>
      <c r="D36" s="57"/>
      <c r="E36" s="57"/>
      <c r="F36" s="8" t="e">
        <f>ROUND(E36/D36%,1)</f>
        <v>#DIV/0!</v>
      </c>
      <c r="G36" s="9" t="s">
        <v>12</v>
      </c>
      <c r="H36" s="57"/>
      <c r="I36" s="10"/>
      <c r="J36" s="15"/>
      <c r="K36" s="21" t="s">
        <v>32</v>
      </c>
      <c r="L36" s="55">
        <f>ROUND(H36*J36*6/1000,5)</f>
        <v>0</v>
      </c>
      <c r="M36" s="48">
        <f>ROUND(D36*L36,3)</f>
        <v>0</v>
      </c>
      <c r="N36" s="48">
        <f>ROUND(E36*L36,3)</f>
        <v>0</v>
      </c>
      <c r="O36" s="57"/>
      <c r="P36" s="57"/>
      <c r="Q36" s="8" t="e">
        <f>ROUND(P36/O36%,1)</f>
        <v>#DIV/0!</v>
      </c>
      <c r="R36" s="9" t="s">
        <v>12</v>
      </c>
      <c r="S36" s="57">
        <f>H36</f>
        <v>0</v>
      </c>
      <c r="T36" s="10"/>
      <c r="U36" s="15"/>
      <c r="V36" s="21" t="s">
        <v>32</v>
      </c>
      <c r="W36" s="55">
        <f>L36</f>
        <v>0</v>
      </c>
      <c r="X36" s="48">
        <f>ROUND(O36*W36,3)</f>
        <v>0</v>
      </c>
      <c r="Y36" s="48">
        <f>ROUND(P36*W36,3)</f>
        <v>0</v>
      </c>
      <c r="Z36" s="213" t="e">
        <f t="shared" si="2"/>
        <v>#DIV/0!</v>
      </c>
      <c r="AA36" s="213" t="e">
        <f t="shared" si="2"/>
        <v>#DIV/0!</v>
      </c>
      <c r="AB36" s="51">
        <f>X36-Y36</f>
        <v>0</v>
      </c>
    </row>
    <row r="37" spans="1:28" s="13" customFormat="1" ht="12.75">
      <c r="A37" s="6">
        <v>4</v>
      </c>
      <c r="B37" s="7" t="s">
        <v>16</v>
      </c>
      <c r="C37" s="21"/>
      <c r="D37" s="57" t="e">
        <f>ROUND(M37/L37,5)</f>
        <v>#DIV/0!</v>
      </c>
      <c r="E37" s="57" t="e">
        <f>ROUND(N37/L37,5)</f>
        <v>#DIV/0!</v>
      </c>
      <c r="F37" s="8"/>
      <c r="G37" s="9"/>
      <c r="H37" s="57" t="e">
        <f>ROUND(L37/J37/6*1000,5)</f>
        <v>#DIV/0!</v>
      </c>
      <c r="I37" s="12">
        <f>I38+I39+I40</f>
        <v>0</v>
      </c>
      <c r="J37" s="17">
        <f>J38+J39+J40</f>
        <v>0</v>
      </c>
      <c r="K37" s="17"/>
      <c r="L37" s="55">
        <f>L38+L39+L40</f>
        <v>0</v>
      </c>
      <c r="M37" s="48">
        <f>M38+M39+M40</f>
        <v>0</v>
      </c>
      <c r="N37" s="48">
        <f>N38+N39+N40</f>
        <v>0</v>
      </c>
      <c r="O37" s="57" t="e">
        <f>ROUND(X37/W37,5)</f>
        <v>#DIV/0!</v>
      </c>
      <c r="P37" s="57" t="e">
        <f>ROUND(Y37/W37,5)</f>
        <v>#DIV/0!</v>
      </c>
      <c r="Q37" s="8"/>
      <c r="R37" s="9"/>
      <c r="S37" s="57" t="e">
        <f>ROUND(W37/U37/12,2)</f>
        <v>#DIV/0!</v>
      </c>
      <c r="T37" s="12">
        <f>T38+T39+T40</f>
        <v>0</v>
      </c>
      <c r="U37" s="17">
        <f>U38+U39+U40</f>
        <v>0</v>
      </c>
      <c r="V37" s="17"/>
      <c r="W37" s="55">
        <f>W38+W39+W40</f>
        <v>0</v>
      </c>
      <c r="X37" s="48">
        <f>X38+X39+X40</f>
        <v>0</v>
      </c>
      <c r="Y37" s="48">
        <f>Y38+Y39+Y40</f>
        <v>0</v>
      </c>
      <c r="Z37" s="213" t="e">
        <f t="shared" si="2"/>
        <v>#DIV/0!</v>
      </c>
      <c r="AA37" s="213" t="e">
        <f t="shared" si="2"/>
        <v>#DIV/0!</v>
      </c>
      <c r="AB37" s="51">
        <f>AB38+AB39+AB40</f>
        <v>0</v>
      </c>
    </row>
    <row r="38" spans="1:28" s="13" customFormat="1" ht="25.5">
      <c r="A38" s="24" t="s">
        <v>14</v>
      </c>
      <c r="B38" s="25" t="s">
        <v>18</v>
      </c>
      <c r="C38" s="21" t="s">
        <v>19</v>
      </c>
      <c r="D38" s="57"/>
      <c r="E38" s="57"/>
      <c r="F38" s="8" t="e">
        <f>ROUND(E38/D38%,1)</f>
        <v>#DIV/0!</v>
      </c>
      <c r="G38" s="9" t="s">
        <v>20</v>
      </c>
      <c r="H38" s="57"/>
      <c r="I38" s="215"/>
      <c r="J38" s="216"/>
      <c r="K38" s="21" t="s">
        <v>21</v>
      </c>
      <c r="L38" s="217">
        <f>ROUND(H38*J38*6/1000,5)</f>
        <v>0</v>
      </c>
      <c r="M38" s="49">
        <f>ROUND(D38*L38,3)</f>
        <v>0</v>
      </c>
      <c r="N38" s="49">
        <f>ROUND(E38*L38,3)</f>
        <v>0</v>
      </c>
      <c r="O38" s="57"/>
      <c r="P38" s="57"/>
      <c r="Q38" s="8" t="e">
        <f>ROUND(P38/O38%,1)</f>
        <v>#DIV/0!</v>
      </c>
      <c r="R38" s="9" t="s">
        <v>20</v>
      </c>
      <c r="S38" s="57">
        <f>H38</f>
        <v>0</v>
      </c>
      <c r="T38" s="215"/>
      <c r="U38" s="216"/>
      <c r="V38" s="21" t="s">
        <v>21</v>
      </c>
      <c r="W38" s="217">
        <f>ROUND(S38*U38*6/1000,5)</f>
        <v>0</v>
      </c>
      <c r="X38" s="49">
        <f>ROUND(O38*W38,3)</f>
        <v>0</v>
      </c>
      <c r="Y38" s="49">
        <f>ROUND(P38*W38,3)</f>
        <v>0</v>
      </c>
      <c r="Z38" s="8" t="e">
        <f t="shared" si="2"/>
        <v>#DIV/0!</v>
      </c>
      <c r="AA38" s="8" t="e">
        <f t="shared" si="2"/>
        <v>#DIV/0!</v>
      </c>
      <c r="AB38" s="52">
        <f>X38-Y38</f>
        <v>0</v>
      </c>
    </row>
    <row r="39" spans="1:28" s="13" customFormat="1" ht="25.5" customHeight="1">
      <c r="A39" s="24" t="s">
        <v>15</v>
      </c>
      <c r="B39" s="25" t="s">
        <v>23</v>
      </c>
      <c r="C39" s="21" t="s">
        <v>19</v>
      </c>
      <c r="D39" s="57"/>
      <c r="E39" s="57"/>
      <c r="F39" s="8" t="e">
        <f>ROUND(E39/D39%,1)</f>
        <v>#DIV/0!</v>
      </c>
      <c r="G39" s="9" t="s">
        <v>20</v>
      </c>
      <c r="H39" s="57"/>
      <c r="I39" s="215"/>
      <c r="J39" s="216"/>
      <c r="K39" s="21" t="s">
        <v>21</v>
      </c>
      <c r="L39" s="217">
        <f>ROUND(H39*J39*6/1000,5)</f>
        <v>0</v>
      </c>
      <c r="M39" s="49">
        <f>ROUND(D39*L39,3)</f>
        <v>0</v>
      </c>
      <c r="N39" s="49">
        <f>ROUND(E39*L39,3)</f>
        <v>0</v>
      </c>
      <c r="O39" s="57"/>
      <c r="P39" s="57"/>
      <c r="Q39" s="8" t="e">
        <f>ROUND(P39/O39%,1)</f>
        <v>#DIV/0!</v>
      </c>
      <c r="R39" s="9" t="s">
        <v>20</v>
      </c>
      <c r="S39" s="57">
        <f>H39</f>
        <v>0</v>
      </c>
      <c r="T39" s="215"/>
      <c r="U39" s="216"/>
      <c r="V39" s="21" t="s">
        <v>21</v>
      </c>
      <c r="W39" s="217">
        <f>ROUND(S39*U39*6/1000,5)</f>
        <v>0</v>
      </c>
      <c r="X39" s="49">
        <f>ROUND(O39*W39,3)</f>
        <v>0</v>
      </c>
      <c r="Y39" s="49">
        <f>ROUND(P39*W39,3)</f>
        <v>0</v>
      </c>
      <c r="Z39" s="8" t="e">
        <f t="shared" si="2"/>
        <v>#DIV/0!</v>
      </c>
      <c r="AA39" s="8" t="e">
        <f t="shared" si="2"/>
        <v>#DIV/0!</v>
      </c>
      <c r="AB39" s="52">
        <f>X39-Y39</f>
        <v>0</v>
      </c>
    </row>
    <row r="40" spans="1:28" s="13" customFormat="1" ht="25.5">
      <c r="A40" s="24" t="s">
        <v>139</v>
      </c>
      <c r="B40" s="25" t="s">
        <v>24</v>
      </c>
      <c r="C40" s="21" t="s">
        <v>19</v>
      </c>
      <c r="D40" s="57"/>
      <c r="E40" s="57"/>
      <c r="F40" s="8" t="e">
        <f>ROUND(E40/D40%,1)</f>
        <v>#DIV/0!</v>
      </c>
      <c r="G40" s="9" t="s">
        <v>20</v>
      </c>
      <c r="H40" s="57"/>
      <c r="I40" s="215"/>
      <c r="J40" s="216"/>
      <c r="K40" s="21" t="s">
        <v>21</v>
      </c>
      <c r="L40" s="217">
        <f>ROUND(H40*J40*6/1000,5)</f>
        <v>0</v>
      </c>
      <c r="M40" s="49">
        <f>ROUND(D40*L40,3)</f>
        <v>0</v>
      </c>
      <c r="N40" s="49">
        <f>ROUND(E40*L40,3)</f>
        <v>0</v>
      </c>
      <c r="O40" s="57"/>
      <c r="P40" s="57"/>
      <c r="Q40" s="8" t="e">
        <f>ROUND(P40/O40%,1)</f>
        <v>#DIV/0!</v>
      </c>
      <c r="R40" s="9" t="s">
        <v>20</v>
      </c>
      <c r="S40" s="57">
        <f>H40</f>
        <v>0</v>
      </c>
      <c r="T40" s="215"/>
      <c r="U40" s="216"/>
      <c r="V40" s="21" t="s">
        <v>21</v>
      </c>
      <c r="W40" s="217">
        <f>ROUND(S40*U40*6/1000,5)</f>
        <v>0</v>
      </c>
      <c r="X40" s="49">
        <f>ROUND(O40*W40,3)</f>
        <v>0</v>
      </c>
      <c r="Y40" s="49">
        <f>ROUND(P40*W40,3)</f>
        <v>0</v>
      </c>
      <c r="Z40" s="8" t="e">
        <f t="shared" si="2"/>
        <v>#DIV/0!</v>
      </c>
      <c r="AA40" s="8" t="e">
        <f t="shared" si="2"/>
        <v>#DIV/0!</v>
      </c>
      <c r="AB40" s="52">
        <f>X40-Y40</f>
        <v>0</v>
      </c>
    </row>
    <row r="41" spans="1:28" s="45" customFormat="1" ht="12.75">
      <c r="A41" s="6">
        <v>5</v>
      </c>
      <c r="B41" s="7" t="s">
        <v>25</v>
      </c>
      <c r="C41" s="43"/>
      <c r="D41" s="59"/>
      <c r="E41" s="59"/>
      <c r="F41" s="23" t="e">
        <f>ROUND(E41/D41%,1)</f>
        <v>#DIV/0!</v>
      </c>
      <c r="G41" s="44" t="s">
        <v>26</v>
      </c>
      <c r="H41" s="59"/>
      <c r="I41" s="16"/>
      <c r="J41" s="17"/>
      <c r="K41" s="43" t="s">
        <v>27</v>
      </c>
      <c r="L41" s="55">
        <f>ROUND(H41*J41*6/1000,5)</f>
        <v>0</v>
      </c>
      <c r="M41" s="48">
        <f>ROUND(D41*L41,3)</f>
        <v>0</v>
      </c>
      <c r="N41" s="48">
        <f>ROUND(E41*L41,3)</f>
        <v>0</v>
      </c>
      <c r="O41" s="59"/>
      <c r="P41" s="59"/>
      <c r="Q41" s="23" t="e">
        <f>ROUND(P41/O41%,1)</f>
        <v>#DIV/0!</v>
      </c>
      <c r="R41" s="44" t="s">
        <v>26</v>
      </c>
      <c r="S41" s="59">
        <f>H41</f>
        <v>0</v>
      </c>
      <c r="T41" s="16"/>
      <c r="U41" s="17"/>
      <c r="V41" s="43" t="s">
        <v>27</v>
      </c>
      <c r="W41" s="55">
        <f>ROUND(S41*U41*6/1000,5)</f>
        <v>0</v>
      </c>
      <c r="X41" s="48">
        <f>ROUND(O41*W41,3)</f>
        <v>0</v>
      </c>
      <c r="Y41" s="48">
        <f>ROUND(P41*W41,3)</f>
        <v>0</v>
      </c>
      <c r="Z41" s="213" t="e">
        <f t="shared" si="2"/>
        <v>#DIV/0!</v>
      </c>
      <c r="AA41" s="213" t="e">
        <f t="shared" si="2"/>
        <v>#DIV/0!</v>
      </c>
      <c r="AB41" s="51">
        <f>X41-Y41</f>
        <v>0</v>
      </c>
    </row>
    <row r="42" spans="1:28" s="13" customFormat="1" ht="12.75">
      <c r="A42" s="6">
        <v>6</v>
      </c>
      <c r="B42" s="7" t="s">
        <v>140</v>
      </c>
      <c r="C42" s="22"/>
      <c r="D42" s="57" t="e">
        <f>ROUND(M42/L42,5)</f>
        <v>#DIV/0!</v>
      </c>
      <c r="E42" s="57" t="e">
        <f>ROUND(N42/L42,5)</f>
        <v>#DIV/0!</v>
      </c>
      <c r="F42" s="8"/>
      <c r="G42" s="8"/>
      <c r="H42" s="57" t="e">
        <f>ROUND(L42/I42/6,5)</f>
        <v>#DIV/0!</v>
      </c>
      <c r="I42" s="12">
        <f>I43+I44</f>
        <v>0</v>
      </c>
      <c r="J42" s="17">
        <f>J43+J44</f>
        <v>0</v>
      </c>
      <c r="K42" s="21"/>
      <c r="L42" s="219">
        <f>L43+L44</f>
        <v>0</v>
      </c>
      <c r="M42" s="48">
        <f>M43+M44</f>
        <v>0</v>
      </c>
      <c r="N42" s="48">
        <f>N43+N44</f>
        <v>0</v>
      </c>
      <c r="O42" s="57"/>
      <c r="P42" s="57"/>
      <c r="Q42" s="8"/>
      <c r="R42" s="8"/>
      <c r="S42" s="57" t="e">
        <f>ROUND(W42/T42/6,5)</f>
        <v>#DIV/0!</v>
      </c>
      <c r="T42" s="12">
        <f>T43+T44</f>
        <v>0</v>
      </c>
      <c r="U42" s="17">
        <f>U43+U44</f>
        <v>0</v>
      </c>
      <c r="V42" s="21"/>
      <c r="W42" s="219">
        <f>W43+W44</f>
        <v>0</v>
      </c>
      <c r="X42" s="48">
        <f>X43+X44</f>
        <v>0</v>
      </c>
      <c r="Y42" s="48">
        <f>Y43+Y44</f>
        <v>0</v>
      </c>
      <c r="Z42" s="213" t="e">
        <f t="shared" si="2"/>
        <v>#DIV/0!</v>
      </c>
      <c r="AA42" s="213" t="e">
        <f t="shared" si="2"/>
        <v>#DIV/0!</v>
      </c>
      <c r="AB42" s="51">
        <f>AB43+AB44</f>
        <v>0</v>
      </c>
    </row>
    <row r="43" spans="1:28" s="13" customFormat="1" ht="12.75">
      <c r="A43" s="14" t="s">
        <v>17</v>
      </c>
      <c r="B43" s="22" t="s">
        <v>141</v>
      </c>
      <c r="C43" s="220" t="s">
        <v>142</v>
      </c>
      <c r="D43" s="57"/>
      <c r="E43" s="57"/>
      <c r="F43" s="8" t="e">
        <f>ROUND(E43/D43%,1)</f>
        <v>#DIV/0!</v>
      </c>
      <c r="G43" s="8" t="s">
        <v>143</v>
      </c>
      <c r="H43" s="57"/>
      <c r="I43" s="8"/>
      <c r="J43" s="15"/>
      <c r="K43" s="21" t="s">
        <v>144</v>
      </c>
      <c r="L43" s="56">
        <f>ROUND(H43*I43*6,5)</f>
        <v>0</v>
      </c>
      <c r="M43" s="49">
        <f>ROUND(D43*L43,3)</f>
        <v>0</v>
      </c>
      <c r="N43" s="49">
        <f>ROUND(E43*L43,3)</f>
        <v>0</v>
      </c>
      <c r="O43" s="57"/>
      <c r="P43" s="57"/>
      <c r="Q43" s="8" t="e">
        <f>ROUND(P43/O43%,1)</f>
        <v>#DIV/0!</v>
      </c>
      <c r="R43" s="8" t="s">
        <v>143</v>
      </c>
      <c r="S43" s="57"/>
      <c r="T43" s="8"/>
      <c r="U43" s="15"/>
      <c r="V43" s="21" t="s">
        <v>144</v>
      </c>
      <c r="W43" s="56">
        <f>ROUND(S43*T43*6,5)</f>
        <v>0</v>
      </c>
      <c r="X43" s="49">
        <f>ROUND(O43*W43,3)</f>
        <v>0</v>
      </c>
      <c r="Y43" s="49">
        <f>ROUND(P43*W43,3)</f>
        <v>0</v>
      </c>
      <c r="Z43" s="8" t="e">
        <f t="shared" si="2"/>
        <v>#DIV/0!</v>
      </c>
      <c r="AA43" s="8" t="e">
        <f t="shared" si="2"/>
        <v>#DIV/0!</v>
      </c>
      <c r="AB43" s="52">
        <f>X43-Y43</f>
        <v>0</v>
      </c>
    </row>
    <row r="44" spans="1:28" s="13" customFormat="1" ht="13.5">
      <c r="A44" s="14" t="s">
        <v>22</v>
      </c>
      <c r="B44" s="22" t="s">
        <v>129</v>
      </c>
      <c r="C44" s="19" t="s">
        <v>31</v>
      </c>
      <c r="D44" s="57"/>
      <c r="E44" s="57"/>
      <c r="F44" s="8" t="e">
        <f>ROUND(E44/D44%,1)</f>
        <v>#DIV/0!</v>
      </c>
      <c r="G44" s="9" t="s">
        <v>145</v>
      </c>
      <c r="H44" s="57"/>
      <c r="I44" s="8"/>
      <c r="J44" s="15"/>
      <c r="K44" s="21" t="s">
        <v>32</v>
      </c>
      <c r="L44" s="56">
        <f>ROUND(H44*I44*6,5)</f>
        <v>0</v>
      </c>
      <c r="M44" s="49">
        <f>ROUND(D44*L44,3)</f>
        <v>0</v>
      </c>
      <c r="N44" s="49">
        <f>ROUND(E44*L44,3)</f>
        <v>0</v>
      </c>
      <c r="O44" s="57"/>
      <c r="P44" s="57"/>
      <c r="Q44" s="8" t="e">
        <f>ROUND(P44/O44%,1)</f>
        <v>#DIV/0!</v>
      </c>
      <c r="R44" s="9" t="s">
        <v>145</v>
      </c>
      <c r="S44" s="57"/>
      <c r="T44" s="8"/>
      <c r="U44" s="15"/>
      <c r="V44" s="21" t="s">
        <v>32</v>
      </c>
      <c r="W44" s="56">
        <f>ROUND(S44*T44*6,5)</f>
        <v>0</v>
      </c>
      <c r="X44" s="49">
        <f>ROUND(O44*W44,3)</f>
        <v>0</v>
      </c>
      <c r="Y44" s="49">
        <f>ROUND(P44*W44,3)</f>
        <v>0</v>
      </c>
      <c r="Z44" s="8" t="e">
        <f t="shared" si="2"/>
        <v>#DIV/0!</v>
      </c>
      <c r="AA44" s="8" t="e">
        <f t="shared" si="2"/>
        <v>#DIV/0!</v>
      </c>
      <c r="AB44" s="52">
        <f>X44-Y44</f>
        <v>0</v>
      </c>
    </row>
    <row r="45" spans="1:28" s="28" customFormat="1" ht="12.75">
      <c r="A45" s="26"/>
      <c r="B45" s="26" t="s">
        <v>28</v>
      </c>
      <c r="C45" s="26"/>
      <c r="D45" s="27" t="s">
        <v>10</v>
      </c>
      <c r="E45" s="27" t="s">
        <v>10</v>
      </c>
      <c r="F45" s="27" t="s">
        <v>10</v>
      </c>
      <c r="G45" s="27" t="s">
        <v>10</v>
      </c>
      <c r="H45" s="27" t="s">
        <v>10</v>
      </c>
      <c r="I45" s="27" t="s">
        <v>10</v>
      </c>
      <c r="J45" s="27" t="s">
        <v>10</v>
      </c>
      <c r="K45" s="27" t="s">
        <v>10</v>
      </c>
      <c r="L45" s="27" t="s">
        <v>10</v>
      </c>
      <c r="M45" s="222">
        <f>M30+M33+M36+M37+M41+M42</f>
        <v>0</v>
      </c>
      <c r="N45" s="222">
        <f>N30+N33+N36+N37+N41+N42</f>
        <v>0</v>
      </c>
      <c r="O45" s="27" t="s">
        <v>10</v>
      </c>
      <c r="P45" s="27" t="s">
        <v>10</v>
      </c>
      <c r="Q45" s="27" t="s">
        <v>10</v>
      </c>
      <c r="R45" s="27" t="s">
        <v>10</v>
      </c>
      <c r="S45" s="27" t="s">
        <v>10</v>
      </c>
      <c r="T45" s="27" t="s">
        <v>10</v>
      </c>
      <c r="U45" s="27" t="s">
        <v>10</v>
      </c>
      <c r="V45" s="27" t="s">
        <v>10</v>
      </c>
      <c r="W45" s="27" t="s">
        <v>10</v>
      </c>
      <c r="X45" s="222" t="e">
        <f>X30+X33+X36+X37+X41+X42</f>
        <v>#DIV/0!</v>
      </c>
      <c r="Y45" s="222" t="e">
        <f>Y30+Y33+Y36+Y37+Y41+Y42</f>
        <v>#DIV/0!</v>
      </c>
      <c r="Z45" s="213" t="e">
        <f t="shared" si="2"/>
        <v>#DIV/0!</v>
      </c>
      <c r="AA45" s="213" t="e">
        <f t="shared" si="2"/>
        <v>#DIV/0!</v>
      </c>
      <c r="AB45" s="223" t="e">
        <f>ROUND(X45-Y45,3)</f>
        <v>#DIV/0!</v>
      </c>
    </row>
    <row r="46" spans="1:28" s="30" customFormat="1" ht="39.75" customHeight="1">
      <c r="A46" s="29"/>
      <c r="B46" s="513" t="s">
        <v>149</v>
      </c>
      <c r="C46" s="514"/>
      <c r="D46" s="27" t="s">
        <v>10</v>
      </c>
      <c r="E46" s="27" t="s">
        <v>10</v>
      </c>
      <c r="F46" s="27" t="s">
        <v>10</v>
      </c>
      <c r="G46" s="27" t="s">
        <v>10</v>
      </c>
      <c r="H46" s="27" t="s">
        <v>10</v>
      </c>
      <c r="I46" s="27" t="s">
        <v>10</v>
      </c>
      <c r="J46" s="27" t="s">
        <v>10</v>
      </c>
      <c r="K46" s="27" t="s">
        <v>10</v>
      </c>
      <c r="L46" s="27" t="s">
        <v>10</v>
      </c>
      <c r="M46" s="27" t="s">
        <v>10</v>
      </c>
      <c r="N46" s="27" t="s">
        <v>10</v>
      </c>
      <c r="O46" s="27" t="s">
        <v>10</v>
      </c>
      <c r="P46" s="27" t="s">
        <v>10</v>
      </c>
      <c r="Q46" s="27" t="s">
        <v>10</v>
      </c>
      <c r="R46" s="27" t="s">
        <v>10</v>
      </c>
      <c r="S46" s="27" t="s">
        <v>10</v>
      </c>
      <c r="T46" s="27" t="s">
        <v>10</v>
      </c>
      <c r="U46" s="27" t="s">
        <v>10</v>
      </c>
      <c r="V46" s="27" t="s">
        <v>10</v>
      </c>
      <c r="W46" s="27" t="s">
        <v>10</v>
      </c>
      <c r="X46" s="27" t="s">
        <v>10</v>
      </c>
      <c r="Y46" s="50">
        <f>ROUND(N45*1.044,3)</f>
        <v>0</v>
      </c>
      <c r="Z46" s="27" t="s">
        <v>10</v>
      </c>
      <c r="AA46" s="232" t="e">
        <f>ROUND(Y46/N45,4)</f>
        <v>#DIV/0!</v>
      </c>
      <c r="AB46" s="50" t="e">
        <f>ROUND(X45-Y46,3)</f>
        <v>#DIV/0!</v>
      </c>
    </row>
    <row r="47" spans="1:28" s="34" customFormat="1" ht="12.75">
      <c r="A47" s="31"/>
      <c r="B47" s="32" t="s">
        <v>29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54"/>
    </row>
    <row r="48" spans="1:28" s="34" customFormat="1" ht="6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54"/>
    </row>
    <row r="49" spans="1:28" ht="12.7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7"/>
      <c r="S49" s="465" t="s">
        <v>298</v>
      </c>
      <c r="T49" s="466"/>
      <c r="U49" s="466"/>
      <c r="V49" s="466"/>
      <c r="W49" s="466"/>
      <c r="X49" s="466"/>
      <c r="Y49" s="466"/>
      <c r="Z49" s="466"/>
      <c r="AA49" s="467"/>
      <c r="AB49" s="463" t="e">
        <f>AB45+AB27</f>
        <v>#DIV/0!</v>
      </c>
    </row>
    <row r="50" spans="19:28" ht="12.75">
      <c r="S50" s="465" t="s">
        <v>299</v>
      </c>
      <c r="T50" s="466"/>
      <c r="U50" s="466"/>
      <c r="V50" s="466"/>
      <c r="W50" s="466"/>
      <c r="X50" s="466"/>
      <c r="Y50" s="466"/>
      <c r="Z50" s="466"/>
      <c r="AA50" s="467"/>
      <c r="AB50" s="464" t="e">
        <f>AB46+AB28</f>
        <v>#DIV/0!</v>
      </c>
    </row>
    <row r="52" spans="1:19" s="40" customFormat="1" ht="15.75">
      <c r="A52" s="39"/>
      <c r="B52" s="41" t="s">
        <v>296</v>
      </c>
      <c r="C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s="40" customFormat="1" ht="12.75">
      <c r="A53" s="39"/>
      <c r="B53" s="39"/>
      <c r="C53" s="39"/>
      <c r="G53" s="60" t="s">
        <v>42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s="40" customFormat="1" ht="12.75">
      <c r="A54" s="39"/>
      <c r="B54" s="42"/>
      <c r="C54" s="42"/>
      <c r="D54" s="42"/>
      <c r="E54" s="42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40" customFormat="1" ht="15.75">
      <c r="A55" s="39"/>
      <c r="B55" s="38" t="s">
        <v>30</v>
      </c>
      <c r="C55" s="39"/>
      <c r="E55" s="41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</sheetData>
  <sheetProtection/>
  <mergeCells count="36">
    <mergeCell ref="B15:C15"/>
    <mergeCell ref="B28:C28"/>
    <mergeCell ref="B29:D29"/>
    <mergeCell ref="B30:C30"/>
    <mergeCell ref="B33:C33"/>
    <mergeCell ref="B46:C46"/>
    <mergeCell ref="S49:AA49"/>
    <mergeCell ref="V5:W5"/>
    <mergeCell ref="X5:Y5"/>
    <mergeCell ref="B9:AB9"/>
    <mergeCell ref="B10:AB10"/>
    <mergeCell ref="B11:D11"/>
    <mergeCell ref="B12:C12"/>
    <mergeCell ref="O5:O6"/>
    <mergeCell ref="P5:P6"/>
    <mergeCell ref="Q5:Q6"/>
    <mergeCell ref="E5:E6"/>
    <mergeCell ref="R5:S5"/>
    <mergeCell ref="T5:T6"/>
    <mergeCell ref="U5:U6"/>
    <mergeCell ref="F5:F6"/>
    <mergeCell ref="G5:H5"/>
    <mergeCell ref="I5:I6"/>
    <mergeCell ref="J5:J6"/>
    <mergeCell ref="K5:L5"/>
    <mergeCell ref="M5:N5"/>
    <mergeCell ref="S50:AA50"/>
    <mergeCell ref="C3:AB3"/>
    <mergeCell ref="A4:A7"/>
    <mergeCell ref="B4:B7"/>
    <mergeCell ref="C4:C7"/>
    <mergeCell ref="D4:N4"/>
    <mergeCell ref="O4:Y4"/>
    <mergeCell ref="Z4:AA5"/>
    <mergeCell ref="AB4:AB6"/>
    <mergeCell ref="D5:D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3" r:id="rId1"/>
  <rowBreaks count="1" manualBreakCount="1">
    <brk id="28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F1">
      <selection activeCell="X6" sqref="X6:X8"/>
    </sheetView>
  </sheetViews>
  <sheetFormatPr defaultColWidth="9.00390625" defaultRowHeight="12.75"/>
  <cols>
    <col min="1" max="1" width="3.00390625" style="345" customWidth="1"/>
    <col min="2" max="2" width="14.75390625" style="345" customWidth="1"/>
    <col min="3" max="3" width="8.25390625" style="345" customWidth="1"/>
    <col min="4" max="4" width="9.75390625" style="345" customWidth="1"/>
    <col min="5" max="5" width="8.875" style="345" customWidth="1"/>
    <col min="6" max="6" width="9.125" style="345" customWidth="1"/>
    <col min="7" max="7" width="8.375" style="345" customWidth="1"/>
    <col min="8" max="8" width="13.125" style="345" customWidth="1"/>
    <col min="9" max="9" width="6.25390625" style="345" customWidth="1"/>
    <col min="10" max="10" width="8.00390625" style="345" customWidth="1"/>
    <col min="11" max="11" width="7.625" style="345" customWidth="1"/>
    <col min="12" max="13" width="8.00390625" style="430" customWidth="1"/>
    <col min="14" max="14" width="11.25390625" style="430" customWidth="1"/>
    <col min="15" max="15" width="8.125" style="345" customWidth="1"/>
    <col min="16" max="16" width="8.375" style="345" customWidth="1"/>
    <col min="17" max="17" width="13.75390625" style="345" customWidth="1"/>
    <col min="18" max="18" width="6.375" style="345" customWidth="1"/>
    <col min="19" max="19" width="8.00390625" style="345" customWidth="1"/>
    <col min="20" max="20" width="8.125" style="345" customWidth="1"/>
    <col min="21" max="22" width="8.25390625" style="430" customWidth="1"/>
    <col min="23" max="23" width="13.625" style="430" customWidth="1"/>
    <col min="24" max="24" width="8.125" style="345" customWidth="1"/>
    <col min="25" max="25" width="8.375" style="345" customWidth="1"/>
    <col min="26" max="26" width="13.00390625" style="345" customWidth="1"/>
    <col min="27" max="27" width="6.375" style="345" customWidth="1"/>
    <col min="28" max="28" width="8.00390625" style="345" customWidth="1"/>
    <col min="29" max="29" width="8.125" style="345" customWidth="1"/>
    <col min="30" max="31" width="7.125" style="430" customWidth="1"/>
    <col min="32" max="32" width="11.25390625" style="430" customWidth="1"/>
    <col min="33" max="16384" width="9.125" style="345" customWidth="1"/>
  </cols>
  <sheetData>
    <row r="1" ht="12.75">
      <c r="AF1" s="430" t="s">
        <v>285</v>
      </c>
    </row>
    <row r="2" spans="1:23" s="431" customFormat="1" ht="15.75">
      <c r="A2" s="649" t="s">
        <v>311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</row>
    <row r="3" spans="1:23" s="431" customFormat="1" ht="21.75" customHeight="1">
      <c r="A3" s="649" t="s">
        <v>157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</row>
    <row r="4" s="431" customFormat="1" ht="15.75"/>
    <row r="5" spans="1:32" s="348" customFormat="1" ht="15.75" customHeight="1">
      <c r="A5" s="650" t="s">
        <v>55</v>
      </c>
      <c r="B5" s="650" t="s">
        <v>63</v>
      </c>
      <c r="C5" s="650" t="s">
        <v>137</v>
      </c>
      <c r="D5" s="650" t="s">
        <v>136</v>
      </c>
      <c r="E5" s="651" t="s">
        <v>57</v>
      </c>
      <c r="F5" s="671" t="s">
        <v>64</v>
      </c>
      <c r="G5" s="671"/>
      <c r="H5" s="671"/>
      <c r="I5" s="671"/>
      <c r="J5" s="671"/>
      <c r="K5" s="671"/>
      <c r="L5" s="671"/>
      <c r="M5" s="671"/>
      <c r="N5" s="671"/>
      <c r="O5" s="672" t="s">
        <v>312</v>
      </c>
      <c r="P5" s="672"/>
      <c r="Q5" s="672"/>
      <c r="R5" s="672"/>
      <c r="S5" s="672"/>
      <c r="T5" s="672"/>
      <c r="U5" s="672"/>
      <c r="V5" s="672"/>
      <c r="W5" s="672"/>
      <c r="X5" s="667" t="s">
        <v>313</v>
      </c>
      <c r="Y5" s="667"/>
      <c r="Z5" s="667"/>
      <c r="AA5" s="667"/>
      <c r="AB5" s="667"/>
      <c r="AC5" s="667"/>
      <c r="AD5" s="667"/>
      <c r="AE5" s="667"/>
      <c r="AF5" s="667"/>
    </row>
    <row r="6" spans="1:32" s="349" customFormat="1" ht="30" customHeight="1">
      <c r="A6" s="650"/>
      <c r="B6" s="650"/>
      <c r="C6" s="650"/>
      <c r="D6" s="650"/>
      <c r="E6" s="652"/>
      <c r="F6" s="668" t="s">
        <v>133</v>
      </c>
      <c r="G6" s="654" t="s">
        <v>134</v>
      </c>
      <c r="H6" s="655" t="s">
        <v>286</v>
      </c>
      <c r="I6" s="654" t="s">
        <v>58</v>
      </c>
      <c r="J6" s="662" t="s">
        <v>135</v>
      </c>
      <c r="K6" s="662"/>
      <c r="L6" s="663" t="s">
        <v>287</v>
      </c>
      <c r="M6" s="664"/>
      <c r="N6" s="650" t="s">
        <v>288</v>
      </c>
      <c r="O6" s="668" t="s">
        <v>133</v>
      </c>
      <c r="P6" s="654" t="s">
        <v>134</v>
      </c>
      <c r="Q6" s="655" t="s">
        <v>131</v>
      </c>
      <c r="R6" s="654" t="s">
        <v>58</v>
      </c>
      <c r="S6" s="662" t="s">
        <v>289</v>
      </c>
      <c r="T6" s="662"/>
      <c r="U6" s="663" t="s">
        <v>287</v>
      </c>
      <c r="V6" s="664"/>
      <c r="W6" s="650" t="s">
        <v>290</v>
      </c>
      <c r="X6" s="668" t="s">
        <v>133</v>
      </c>
      <c r="Y6" s="654" t="s">
        <v>132</v>
      </c>
      <c r="Z6" s="655" t="s">
        <v>131</v>
      </c>
      <c r="AA6" s="654" t="s">
        <v>58</v>
      </c>
      <c r="AB6" s="662" t="s">
        <v>289</v>
      </c>
      <c r="AC6" s="662"/>
      <c r="AD6" s="669" t="s">
        <v>287</v>
      </c>
      <c r="AE6" s="664"/>
      <c r="AF6" s="650" t="s">
        <v>290</v>
      </c>
    </row>
    <row r="7" spans="1:32" s="432" customFormat="1" ht="79.5" customHeight="1">
      <c r="A7" s="650"/>
      <c r="B7" s="650"/>
      <c r="C7" s="650"/>
      <c r="D7" s="650"/>
      <c r="E7" s="652"/>
      <c r="F7" s="668"/>
      <c r="G7" s="654"/>
      <c r="H7" s="656"/>
      <c r="I7" s="654"/>
      <c r="J7" s="662"/>
      <c r="K7" s="662"/>
      <c r="L7" s="665"/>
      <c r="M7" s="666"/>
      <c r="N7" s="650"/>
      <c r="O7" s="668"/>
      <c r="P7" s="654"/>
      <c r="Q7" s="656"/>
      <c r="R7" s="654"/>
      <c r="S7" s="662"/>
      <c r="T7" s="662"/>
      <c r="U7" s="665"/>
      <c r="V7" s="666"/>
      <c r="W7" s="650"/>
      <c r="X7" s="668"/>
      <c r="Y7" s="654"/>
      <c r="Z7" s="656"/>
      <c r="AA7" s="654"/>
      <c r="AB7" s="662"/>
      <c r="AC7" s="662"/>
      <c r="AD7" s="670"/>
      <c r="AE7" s="666"/>
      <c r="AF7" s="650"/>
    </row>
    <row r="8" spans="1:32" s="432" customFormat="1" ht="45.75" customHeight="1">
      <c r="A8" s="650"/>
      <c r="B8" s="650"/>
      <c r="C8" s="650"/>
      <c r="D8" s="650"/>
      <c r="E8" s="652"/>
      <c r="F8" s="668"/>
      <c r="G8" s="654"/>
      <c r="H8" s="657"/>
      <c r="I8" s="654"/>
      <c r="J8" s="433" t="s">
        <v>130</v>
      </c>
      <c r="K8" s="433" t="s">
        <v>129</v>
      </c>
      <c r="L8" s="433" t="s">
        <v>128</v>
      </c>
      <c r="M8" s="433" t="s">
        <v>126</v>
      </c>
      <c r="N8" s="650"/>
      <c r="O8" s="668"/>
      <c r="P8" s="654"/>
      <c r="Q8" s="657"/>
      <c r="R8" s="654"/>
      <c r="S8" s="433" t="s">
        <v>130</v>
      </c>
      <c r="T8" s="433" t="s">
        <v>129</v>
      </c>
      <c r="U8" s="433" t="s">
        <v>128</v>
      </c>
      <c r="V8" s="433" t="s">
        <v>126</v>
      </c>
      <c r="W8" s="650"/>
      <c r="X8" s="668"/>
      <c r="Y8" s="654"/>
      <c r="Z8" s="657"/>
      <c r="AA8" s="654"/>
      <c r="AB8" s="433" t="s">
        <v>130</v>
      </c>
      <c r="AC8" s="433" t="s">
        <v>129</v>
      </c>
      <c r="AD8" s="433" t="s">
        <v>127</v>
      </c>
      <c r="AE8" s="434" t="s">
        <v>126</v>
      </c>
      <c r="AF8" s="650"/>
    </row>
    <row r="9" spans="1:32" s="349" customFormat="1" ht="15">
      <c r="A9" s="650"/>
      <c r="B9" s="650"/>
      <c r="C9" s="650"/>
      <c r="D9" s="650"/>
      <c r="E9" s="653"/>
      <c r="F9" s="435" t="s">
        <v>60</v>
      </c>
      <c r="G9" s="436" t="s">
        <v>7</v>
      </c>
      <c r="H9" s="436" t="s">
        <v>125</v>
      </c>
      <c r="I9" s="436" t="s">
        <v>59</v>
      </c>
      <c r="J9" s="436" t="s">
        <v>124</v>
      </c>
      <c r="K9" s="349" t="s">
        <v>123</v>
      </c>
      <c r="L9" s="437" t="s">
        <v>4</v>
      </c>
      <c r="M9" s="437" t="s">
        <v>4</v>
      </c>
      <c r="N9" s="437" t="s">
        <v>122</v>
      </c>
      <c r="O9" s="435" t="s">
        <v>60</v>
      </c>
      <c r="P9" s="436" t="s">
        <v>7</v>
      </c>
      <c r="Q9" s="436" t="s">
        <v>125</v>
      </c>
      <c r="R9" s="436" t="s">
        <v>59</v>
      </c>
      <c r="S9" s="436" t="s">
        <v>124</v>
      </c>
      <c r="T9" s="349" t="s">
        <v>123</v>
      </c>
      <c r="U9" s="437" t="s">
        <v>4</v>
      </c>
      <c r="V9" s="437" t="s">
        <v>4</v>
      </c>
      <c r="W9" s="437" t="s">
        <v>122</v>
      </c>
      <c r="X9" s="435" t="s">
        <v>60</v>
      </c>
      <c r="Y9" s="436" t="s">
        <v>7</v>
      </c>
      <c r="Z9" s="436" t="s">
        <v>125</v>
      </c>
      <c r="AA9" s="436" t="s">
        <v>59</v>
      </c>
      <c r="AB9" s="436" t="s">
        <v>124</v>
      </c>
      <c r="AC9" s="349" t="s">
        <v>123</v>
      </c>
      <c r="AD9" s="437" t="s">
        <v>4</v>
      </c>
      <c r="AE9" s="438" t="s">
        <v>4</v>
      </c>
      <c r="AF9" s="437" t="s">
        <v>122</v>
      </c>
    </row>
    <row r="10" spans="1:32" s="441" customFormat="1" ht="11.25">
      <c r="A10" s="439">
        <v>1</v>
      </c>
      <c r="B10" s="440">
        <f>A5:A10+1</f>
        <v>2</v>
      </c>
      <c r="C10" s="440">
        <f aca="true" t="shared" si="0" ref="C10:AF10">B5:B10+1</f>
        <v>3</v>
      </c>
      <c r="D10" s="440">
        <f t="shared" si="0"/>
        <v>4</v>
      </c>
      <c r="E10" s="440">
        <f t="shared" si="0"/>
        <v>5</v>
      </c>
      <c r="F10" s="440">
        <f t="shared" si="0"/>
        <v>6</v>
      </c>
      <c r="G10" s="440">
        <f t="shared" si="0"/>
        <v>7</v>
      </c>
      <c r="H10" s="440">
        <f t="shared" si="0"/>
        <v>8</v>
      </c>
      <c r="I10" s="440">
        <f t="shared" si="0"/>
        <v>9</v>
      </c>
      <c r="J10" s="440">
        <f t="shared" si="0"/>
        <v>10</v>
      </c>
      <c r="K10" s="440">
        <f t="shared" si="0"/>
        <v>11</v>
      </c>
      <c r="L10" s="440">
        <f t="shared" si="0"/>
        <v>12</v>
      </c>
      <c r="M10" s="440">
        <f t="shared" si="0"/>
        <v>13</v>
      </c>
      <c r="N10" s="440">
        <f t="shared" si="0"/>
        <v>14</v>
      </c>
      <c r="O10" s="440">
        <f t="shared" si="0"/>
        <v>15</v>
      </c>
      <c r="P10" s="440">
        <f t="shared" si="0"/>
        <v>16</v>
      </c>
      <c r="Q10" s="440">
        <f t="shared" si="0"/>
        <v>17</v>
      </c>
      <c r="R10" s="440">
        <f t="shared" si="0"/>
        <v>18</v>
      </c>
      <c r="S10" s="440">
        <f t="shared" si="0"/>
        <v>19</v>
      </c>
      <c r="T10" s="440">
        <f t="shared" si="0"/>
        <v>20</v>
      </c>
      <c r="U10" s="440">
        <f t="shared" si="0"/>
        <v>21</v>
      </c>
      <c r="V10" s="440">
        <f t="shared" si="0"/>
        <v>22</v>
      </c>
      <c r="W10" s="440">
        <f t="shared" si="0"/>
        <v>23</v>
      </c>
      <c r="X10" s="440">
        <f t="shared" si="0"/>
        <v>24</v>
      </c>
      <c r="Y10" s="440">
        <f t="shared" si="0"/>
        <v>25</v>
      </c>
      <c r="Z10" s="440">
        <f t="shared" si="0"/>
        <v>26</v>
      </c>
      <c r="AA10" s="440">
        <f t="shared" si="0"/>
        <v>27</v>
      </c>
      <c r="AB10" s="440">
        <f t="shared" si="0"/>
        <v>28</v>
      </c>
      <c r="AC10" s="440">
        <f t="shared" si="0"/>
        <v>29</v>
      </c>
      <c r="AD10" s="440">
        <f t="shared" si="0"/>
        <v>30</v>
      </c>
      <c r="AE10" s="440">
        <f t="shared" si="0"/>
        <v>31</v>
      </c>
      <c r="AF10" s="440">
        <f t="shared" si="0"/>
        <v>32</v>
      </c>
    </row>
    <row r="11" spans="1:32" ht="12.75">
      <c r="A11" s="442"/>
      <c r="B11" s="442"/>
      <c r="C11" s="442"/>
      <c r="D11" s="442"/>
      <c r="E11" s="442"/>
      <c r="F11" s="442"/>
      <c r="G11" s="442"/>
      <c r="H11" s="443"/>
      <c r="I11" s="442"/>
      <c r="J11" s="443"/>
      <c r="K11" s="444"/>
      <c r="L11" s="442"/>
      <c r="M11" s="442"/>
      <c r="N11" s="445"/>
      <c r="O11" s="442"/>
      <c r="P11" s="442"/>
      <c r="Q11" s="443"/>
      <c r="R11" s="442"/>
      <c r="S11" s="443"/>
      <c r="T11" s="444"/>
      <c r="U11" s="442"/>
      <c r="V11" s="442"/>
      <c r="W11" s="445"/>
      <c r="X11" s="442"/>
      <c r="Y11" s="442"/>
      <c r="Z11" s="443"/>
      <c r="AA11" s="442"/>
      <c r="AB11" s="443"/>
      <c r="AC11" s="444"/>
      <c r="AD11" s="446"/>
      <c r="AE11" s="446"/>
      <c r="AF11" s="445"/>
    </row>
    <row r="12" spans="1:32" ht="12.75">
      <c r="A12" s="442"/>
      <c r="B12" s="442"/>
      <c r="C12" s="442"/>
      <c r="D12" s="442"/>
      <c r="E12" s="442"/>
      <c r="F12" s="442"/>
      <c r="G12" s="442"/>
      <c r="H12" s="443"/>
      <c r="I12" s="442"/>
      <c r="J12" s="443"/>
      <c r="K12" s="444"/>
      <c r="L12" s="447"/>
      <c r="M12" s="448"/>
      <c r="N12" s="445"/>
      <c r="O12" s="442"/>
      <c r="P12" s="442"/>
      <c r="Q12" s="443"/>
      <c r="R12" s="442"/>
      <c r="S12" s="443"/>
      <c r="T12" s="444"/>
      <c r="U12" s="447"/>
      <c r="V12" s="448"/>
      <c r="W12" s="445"/>
      <c r="X12" s="442"/>
      <c r="Y12" s="442"/>
      <c r="Z12" s="443"/>
      <c r="AA12" s="442"/>
      <c r="AB12" s="443"/>
      <c r="AC12" s="444"/>
      <c r="AD12" s="446"/>
      <c r="AE12" s="446"/>
      <c r="AF12" s="445"/>
    </row>
    <row r="13" spans="1:32" ht="12.75">
      <c r="A13" s="442"/>
      <c r="B13" s="442"/>
      <c r="C13" s="442"/>
      <c r="D13" s="442"/>
      <c r="E13" s="442"/>
      <c r="F13" s="442"/>
      <c r="G13" s="442"/>
      <c r="H13" s="443"/>
      <c r="I13" s="442"/>
      <c r="J13" s="443"/>
      <c r="K13" s="444"/>
      <c r="L13" s="447"/>
      <c r="M13" s="448"/>
      <c r="N13" s="445"/>
      <c r="O13" s="442"/>
      <c r="P13" s="442"/>
      <c r="Q13" s="443"/>
      <c r="R13" s="442"/>
      <c r="S13" s="443"/>
      <c r="T13" s="444"/>
      <c r="U13" s="447"/>
      <c r="V13" s="448"/>
      <c r="W13" s="445"/>
      <c r="X13" s="442"/>
      <c r="Y13" s="442"/>
      <c r="Z13" s="443"/>
      <c r="AA13" s="442"/>
      <c r="AB13" s="443"/>
      <c r="AC13" s="444"/>
      <c r="AD13" s="446"/>
      <c r="AE13" s="446"/>
      <c r="AF13" s="445"/>
    </row>
    <row r="14" spans="1:32" s="348" customFormat="1" ht="30.75" customHeight="1">
      <c r="A14" s="659" t="s">
        <v>291</v>
      </c>
      <c r="B14" s="660"/>
      <c r="C14" s="660"/>
      <c r="D14" s="661"/>
      <c r="E14" s="449"/>
      <c r="F14" s="450"/>
      <c r="G14" s="451"/>
      <c r="H14" s="452"/>
      <c r="I14" s="453"/>
      <c r="J14" s="452"/>
      <c r="K14" s="450"/>
      <c r="L14" s="454"/>
      <c r="M14" s="454"/>
      <c r="N14" s="450"/>
      <c r="O14" s="450"/>
      <c r="P14" s="451"/>
      <c r="Q14" s="452"/>
      <c r="R14" s="453"/>
      <c r="S14" s="452"/>
      <c r="T14" s="450"/>
      <c r="U14" s="454"/>
      <c r="V14" s="454"/>
      <c r="W14" s="450"/>
      <c r="X14" s="450"/>
      <c r="Y14" s="451"/>
      <c r="Z14" s="452"/>
      <c r="AA14" s="453"/>
      <c r="AB14" s="452"/>
      <c r="AC14" s="450"/>
      <c r="AD14" s="454"/>
      <c r="AE14" s="450"/>
      <c r="AF14" s="450"/>
    </row>
    <row r="15" spans="1:32" ht="12.75">
      <c r="A15" s="455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U15" s="345"/>
      <c r="V15" s="345"/>
      <c r="W15" s="345"/>
      <c r="AD15" s="345"/>
      <c r="AE15" s="345"/>
      <c r="AF15" s="345"/>
    </row>
    <row r="16" spans="1:32" ht="12.75">
      <c r="A16" s="457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U16" s="345"/>
      <c r="V16" s="345"/>
      <c r="W16" s="345"/>
      <c r="AD16" s="345"/>
      <c r="AE16" s="345"/>
      <c r="AF16" s="345"/>
    </row>
    <row r="17" spans="1:32" ht="12.75">
      <c r="A17" s="457"/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U17" s="345"/>
      <c r="V17" s="345"/>
      <c r="W17" s="345"/>
      <c r="AD17" s="345"/>
      <c r="AE17" s="345"/>
      <c r="AF17" s="345"/>
    </row>
    <row r="18" spans="2:8" s="422" customFormat="1" ht="50.25" customHeight="1">
      <c r="B18" s="459" t="s">
        <v>297</v>
      </c>
      <c r="C18" s="460"/>
      <c r="D18" s="460"/>
      <c r="H18" s="423"/>
    </row>
    <row r="19" s="422" customFormat="1" ht="12.75"/>
    <row r="20" spans="2:8" s="422" customFormat="1" ht="12.75">
      <c r="B20" s="422" t="s">
        <v>61</v>
      </c>
      <c r="C20" s="423"/>
      <c r="D20" s="423"/>
      <c r="H20" s="422" t="s">
        <v>42</v>
      </c>
    </row>
    <row r="21" spans="2:4" s="422" customFormat="1" ht="12.75">
      <c r="B21" s="422" t="s">
        <v>62</v>
      </c>
      <c r="C21" s="460"/>
      <c r="D21" s="460"/>
    </row>
    <row r="22" spans="1:2" ht="12.75">
      <c r="A22" s="658"/>
      <c r="B22" s="658"/>
    </row>
  </sheetData>
  <sheetProtection/>
  <mergeCells count="33">
    <mergeCell ref="F5:N5"/>
    <mergeCell ref="O5:W5"/>
    <mergeCell ref="X6:X8"/>
    <mergeCell ref="X5:AF5"/>
    <mergeCell ref="F6:F8"/>
    <mergeCell ref="AB6:AC7"/>
    <mergeCell ref="AD6:AE7"/>
    <mergeCell ref="AF6:AF8"/>
    <mergeCell ref="R6:R8"/>
    <mergeCell ref="N6:N8"/>
    <mergeCell ref="O6:O8"/>
    <mergeCell ref="P6:P8"/>
    <mergeCell ref="J6:K7"/>
    <mergeCell ref="A22:B22"/>
    <mergeCell ref="Z6:Z8"/>
    <mergeCell ref="AA6:AA8"/>
    <mergeCell ref="W6:W8"/>
    <mergeCell ref="A14:D14"/>
    <mergeCell ref="S6:T7"/>
    <mergeCell ref="U6:V7"/>
    <mergeCell ref="Y6:Y8"/>
    <mergeCell ref="L6:M7"/>
    <mergeCell ref="Q6:Q8"/>
    <mergeCell ref="A2:W2"/>
    <mergeCell ref="A3:W3"/>
    <mergeCell ref="A5:A9"/>
    <mergeCell ref="B5:B9"/>
    <mergeCell ref="C5:C9"/>
    <mergeCell ref="D5:D9"/>
    <mergeCell ref="E5:E9"/>
    <mergeCell ref="G6:G8"/>
    <mergeCell ref="H6:H8"/>
    <mergeCell ref="I6:I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B28"/>
  <sheetViews>
    <sheetView view="pageBreakPreview" zoomScale="80" zoomScaleNormal="80" zoomScaleSheetLayoutView="80" zoomScalePageLayoutView="0" workbookViewId="0" topLeftCell="B1">
      <selection activeCell="P20" sqref="P20"/>
    </sheetView>
  </sheetViews>
  <sheetFormatPr defaultColWidth="9.00390625" defaultRowHeight="12.75"/>
  <cols>
    <col min="1" max="1" width="4.25390625" style="61" customWidth="1"/>
    <col min="2" max="2" width="19.25390625" style="61" customWidth="1"/>
    <col min="3" max="3" width="18.25390625" style="61" customWidth="1"/>
    <col min="4" max="5" width="18.125" style="61" customWidth="1"/>
    <col min="6" max="6" width="13.00390625" style="61" customWidth="1"/>
    <col min="7" max="7" width="11.625" style="61" customWidth="1"/>
    <col min="8" max="8" width="15.625" style="61" customWidth="1"/>
    <col min="9" max="9" width="11.625" style="0" customWidth="1"/>
    <col min="10" max="10" width="13.625" style="0" customWidth="1"/>
    <col min="11" max="12" width="11.75390625" style="0" customWidth="1"/>
    <col min="13" max="13" width="16.25390625" style="0" customWidth="1"/>
    <col min="14" max="15" width="11.75390625" style="0" customWidth="1"/>
    <col min="16" max="16" width="14.375" style="0" customWidth="1"/>
    <col min="17" max="17" width="11.25390625" style="0" customWidth="1"/>
    <col min="18" max="18" width="13.00390625" style="0" customWidth="1"/>
    <col min="19" max="19" width="12.875" style="0" customWidth="1"/>
    <col min="20" max="20" width="16.75390625" style="0" customWidth="1"/>
  </cols>
  <sheetData>
    <row r="1" spans="15:20" ht="12.75">
      <c r="O1" s="75"/>
      <c r="T1" s="75" t="s">
        <v>150</v>
      </c>
    </row>
    <row r="2" spans="2:20" s="76" customFormat="1" ht="30" customHeight="1">
      <c r="B2" s="531" t="s">
        <v>300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</row>
    <row r="3" spans="2:20" s="240" customFormat="1" ht="17.25" customHeight="1">
      <c r="B3" s="536" t="s">
        <v>151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241"/>
      <c r="S3" s="241"/>
      <c r="T3" s="241"/>
    </row>
    <row r="4" spans="2:20" s="76" customFormat="1" ht="17.2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8" s="79" customFormat="1" ht="15.75">
      <c r="A5" s="78"/>
      <c r="B5" s="534" t="s">
        <v>152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68"/>
      <c r="P5" s="119"/>
      <c r="Q5" s="119"/>
      <c r="R5" s="119"/>
      <c r="S5" s="119"/>
      <c r="T5" s="68"/>
      <c r="U5" s="68"/>
      <c r="V5" s="78"/>
      <c r="W5" s="78"/>
      <c r="X5" s="78"/>
      <c r="Y5" s="78"/>
      <c r="Z5" s="78"/>
      <c r="AA5" s="78"/>
      <c r="AB5" s="78"/>
    </row>
    <row r="6" spans="1:20" ht="11.25" customHeight="1">
      <c r="A6"/>
      <c r="B6"/>
      <c r="C6"/>
      <c r="D6"/>
      <c r="E6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80"/>
      <c r="Q6" s="80"/>
      <c r="R6" s="80"/>
      <c r="S6" s="80"/>
      <c r="T6" s="80"/>
    </row>
    <row r="7" spans="1:20" s="81" customFormat="1" ht="34.5" customHeight="1">
      <c r="A7" s="517" t="s">
        <v>55</v>
      </c>
      <c r="B7" s="518" t="s">
        <v>63</v>
      </c>
      <c r="C7" s="520" t="s">
        <v>56</v>
      </c>
      <c r="D7" s="520" t="s">
        <v>57</v>
      </c>
      <c r="E7" s="520"/>
      <c r="F7" s="523" t="s">
        <v>64</v>
      </c>
      <c r="G7" s="524"/>
      <c r="H7" s="524"/>
      <c r="I7" s="524"/>
      <c r="J7" s="524"/>
      <c r="K7" s="525" t="s">
        <v>301</v>
      </c>
      <c r="L7" s="526"/>
      <c r="M7" s="526"/>
      <c r="N7" s="526"/>
      <c r="O7" s="527"/>
      <c r="P7" s="528" t="s">
        <v>302</v>
      </c>
      <c r="Q7" s="529"/>
      <c r="R7" s="529"/>
      <c r="S7" s="529"/>
      <c r="T7" s="530"/>
    </row>
    <row r="8" spans="1:20" s="81" customFormat="1" ht="93.75" customHeight="1">
      <c r="A8" s="517"/>
      <c r="B8" s="519"/>
      <c r="C8" s="521"/>
      <c r="D8" s="521"/>
      <c r="E8" s="521"/>
      <c r="F8" s="82" t="s">
        <v>113</v>
      </c>
      <c r="G8" s="82" t="s">
        <v>58</v>
      </c>
      <c r="H8" s="82" t="s">
        <v>153</v>
      </c>
      <c r="I8" s="82" t="s">
        <v>154</v>
      </c>
      <c r="J8" s="82" t="s">
        <v>73</v>
      </c>
      <c r="K8" s="82" t="s">
        <v>113</v>
      </c>
      <c r="L8" s="82" t="s">
        <v>58</v>
      </c>
      <c r="M8" s="82" t="s">
        <v>153</v>
      </c>
      <c r="N8" s="83" t="s">
        <v>154</v>
      </c>
      <c r="O8" s="83" t="s">
        <v>74</v>
      </c>
      <c r="P8" s="82" t="s">
        <v>113</v>
      </c>
      <c r="Q8" s="82" t="s">
        <v>58</v>
      </c>
      <c r="R8" s="82" t="s">
        <v>153</v>
      </c>
      <c r="S8" s="83" t="s">
        <v>154</v>
      </c>
      <c r="T8" s="83" t="s">
        <v>155</v>
      </c>
    </row>
    <row r="9" spans="1:20" s="84" customFormat="1" ht="15.75" customHeight="1">
      <c r="A9" s="517"/>
      <c r="B9" s="519"/>
      <c r="C9" s="522"/>
      <c r="D9" s="522"/>
      <c r="E9" s="74"/>
      <c r="F9" s="83" t="s">
        <v>75</v>
      </c>
      <c r="G9" s="83" t="s">
        <v>59</v>
      </c>
      <c r="H9" s="70" t="s">
        <v>60</v>
      </c>
      <c r="I9" s="70" t="s">
        <v>7</v>
      </c>
      <c r="J9" s="83" t="s">
        <v>76</v>
      </c>
      <c r="K9" s="83" t="s">
        <v>77</v>
      </c>
      <c r="L9" s="83" t="s">
        <v>59</v>
      </c>
      <c r="M9" s="70" t="s">
        <v>60</v>
      </c>
      <c r="N9" s="70" t="s">
        <v>7</v>
      </c>
      <c r="O9" s="83" t="s">
        <v>76</v>
      </c>
      <c r="P9" s="83" t="s">
        <v>77</v>
      </c>
      <c r="Q9" s="83" t="s">
        <v>59</v>
      </c>
      <c r="R9" s="70" t="s">
        <v>60</v>
      </c>
      <c r="S9" s="70" t="s">
        <v>7</v>
      </c>
      <c r="T9" s="83" t="s">
        <v>76</v>
      </c>
    </row>
    <row r="10" spans="1:20" s="108" customFormat="1" ht="11.25">
      <c r="A10" s="105">
        <v>1</v>
      </c>
      <c r="B10" s="106">
        <f>A10+1</f>
        <v>2</v>
      </c>
      <c r="C10" s="106">
        <f aca="true" t="shared" si="0" ref="C10:T10">B10+1</f>
        <v>3</v>
      </c>
      <c r="D10" s="106">
        <f t="shared" si="0"/>
        <v>4</v>
      </c>
      <c r="E10" s="106" t="s">
        <v>112</v>
      </c>
      <c r="F10" s="106">
        <f>D10+1</f>
        <v>5</v>
      </c>
      <c r="G10" s="106">
        <f t="shared" si="0"/>
        <v>6</v>
      </c>
      <c r="H10" s="105">
        <f t="shared" si="0"/>
        <v>7</v>
      </c>
      <c r="I10" s="106">
        <f t="shared" si="0"/>
        <v>8</v>
      </c>
      <c r="J10" s="106">
        <f t="shared" si="0"/>
        <v>9</v>
      </c>
      <c r="K10" s="106">
        <f t="shared" si="0"/>
        <v>10</v>
      </c>
      <c r="L10" s="106">
        <f t="shared" si="0"/>
        <v>11</v>
      </c>
      <c r="M10" s="106">
        <f t="shared" si="0"/>
        <v>12</v>
      </c>
      <c r="N10" s="106">
        <f t="shared" si="0"/>
        <v>13</v>
      </c>
      <c r="O10" s="106">
        <f t="shared" si="0"/>
        <v>14</v>
      </c>
      <c r="P10" s="107">
        <f t="shared" si="0"/>
        <v>15</v>
      </c>
      <c r="Q10" s="107">
        <f t="shared" si="0"/>
        <v>16</v>
      </c>
      <c r="R10" s="105">
        <f t="shared" si="0"/>
        <v>17</v>
      </c>
      <c r="S10" s="105">
        <f t="shared" si="0"/>
        <v>18</v>
      </c>
      <c r="T10" s="105">
        <f t="shared" si="0"/>
        <v>19</v>
      </c>
    </row>
    <row r="11" spans="1:20" s="90" customFormat="1" ht="12.75">
      <c r="A11" s="85">
        <v>1</v>
      </c>
      <c r="B11" s="85"/>
      <c r="C11" s="85"/>
      <c r="D11" s="85"/>
      <c r="E11" s="85"/>
      <c r="F11" s="86"/>
      <c r="G11" s="85">
        <v>6</v>
      </c>
      <c r="H11" s="201"/>
      <c r="I11" s="71"/>
      <c r="J11" s="89">
        <f>ROUND(F11*G11*I11/1000,5)</f>
        <v>0</v>
      </c>
      <c r="K11" s="86"/>
      <c r="L11" s="85">
        <v>6</v>
      </c>
      <c r="M11" s="87">
        <f aca="true" t="shared" si="1" ref="M11:N13">H11</f>
        <v>0</v>
      </c>
      <c r="N11" s="87">
        <f t="shared" si="1"/>
        <v>0</v>
      </c>
      <c r="O11" s="89">
        <f>ROUND(K11*L11*N11/1000,5)</f>
        <v>0</v>
      </c>
      <c r="P11" s="86"/>
      <c r="Q11" s="85">
        <v>6</v>
      </c>
      <c r="R11" s="87">
        <f aca="true" t="shared" si="2" ref="R11:S13">H11</f>
        <v>0</v>
      </c>
      <c r="S11" s="87">
        <f t="shared" si="2"/>
        <v>0</v>
      </c>
      <c r="T11" s="89">
        <f>ROUND(P11*Q11*S11/1000,5)</f>
        <v>0</v>
      </c>
    </row>
    <row r="12" spans="1:20" s="90" customFormat="1" ht="12.75">
      <c r="A12" s="85"/>
      <c r="B12" s="85"/>
      <c r="C12" s="85"/>
      <c r="D12" s="85"/>
      <c r="E12" s="85"/>
      <c r="F12" s="86"/>
      <c r="G12" s="85">
        <v>6</v>
      </c>
      <c r="H12" s="201"/>
      <c r="I12" s="71"/>
      <c r="J12" s="89">
        <f>ROUND(F12*G12*I12/1000,5)</f>
        <v>0</v>
      </c>
      <c r="K12" s="86"/>
      <c r="L12" s="85">
        <v>6</v>
      </c>
      <c r="M12" s="87">
        <f t="shared" si="1"/>
        <v>0</v>
      </c>
      <c r="N12" s="87">
        <f t="shared" si="1"/>
        <v>0</v>
      </c>
      <c r="O12" s="89">
        <f>ROUND(K12*L12*N12/1000,5)</f>
        <v>0</v>
      </c>
      <c r="P12" s="86"/>
      <c r="Q12" s="85">
        <v>6</v>
      </c>
      <c r="R12" s="87">
        <f t="shared" si="2"/>
        <v>0</v>
      </c>
      <c r="S12" s="87">
        <f t="shared" si="2"/>
        <v>0</v>
      </c>
      <c r="T12" s="89">
        <f>ROUND(P12*Q12*S12/1000,5)</f>
        <v>0</v>
      </c>
    </row>
    <row r="13" spans="1:20" s="92" customFormat="1" ht="12.75">
      <c r="A13" s="62"/>
      <c r="B13" s="85"/>
      <c r="C13" s="85"/>
      <c r="D13" s="85"/>
      <c r="E13" s="85"/>
      <c r="F13" s="86"/>
      <c r="G13" s="85">
        <v>6</v>
      </c>
      <c r="H13" s="65"/>
      <c r="I13" s="88"/>
      <c r="J13" s="89">
        <f>ROUND(F13*G13*I13/1000,5)</f>
        <v>0</v>
      </c>
      <c r="K13" s="86"/>
      <c r="L13" s="85">
        <v>6</v>
      </c>
      <c r="M13" s="87">
        <f t="shared" si="1"/>
        <v>0</v>
      </c>
      <c r="N13" s="87">
        <f t="shared" si="1"/>
        <v>0</v>
      </c>
      <c r="O13" s="89">
        <f>ROUND(K13*L13*N13/1000,5)</f>
        <v>0</v>
      </c>
      <c r="P13" s="86"/>
      <c r="Q13" s="85"/>
      <c r="R13" s="87">
        <f t="shared" si="2"/>
        <v>0</v>
      </c>
      <c r="S13" s="87">
        <f t="shared" si="2"/>
        <v>0</v>
      </c>
      <c r="T13" s="89">
        <f>ROUND(P13*Q13*S13/1000,5)</f>
        <v>0</v>
      </c>
    </row>
    <row r="14" spans="1:20" s="92" customFormat="1" ht="12.75">
      <c r="A14" s="62"/>
      <c r="B14" s="163"/>
      <c r="C14" s="164"/>
      <c r="D14" s="85"/>
      <c r="E14" s="85"/>
      <c r="F14" s="86"/>
      <c r="G14" s="85"/>
      <c r="H14" s="65"/>
      <c r="I14" s="88"/>
      <c r="J14" s="89"/>
      <c r="K14" s="86"/>
      <c r="L14" s="85"/>
      <c r="M14" s="87"/>
      <c r="N14" s="88"/>
      <c r="O14" s="89"/>
      <c r="P14" s="86"/>
      <c r="Q14" s="85"/>
      <c r="R14" s="87"/>
      <c r="S14" s="88"/>
      <c r="T14" s="89"/>
    </row>
    <row r="15" spans="1:20" s="92" customFormat="1" ht="12.75">
      <c r="A15" s="62"/>
      <c r="B15" s="163"/>
      <c r="C15" s="164"/>
      <c r="D15" s="85"/>
      <c r="E15" s="85"/>
      <c r="F15" s="86"/>
      <c r="G15" s="85"/>
      <c r="H15" s="65"/>
      <c r="I15" s="88"/>
      <c r="J15" s="89"/>
      <c r="K15" s="86"/>
      <c r="L15" s="85"/>
      <c r="M15" s="87"/>
      <c r="N15" s="88"/>
      <c r="O15" s="89"/>
      <c r="P15" s="86"/>
      <c r="Q15" s="85"/>
      <c r="R15" s="87"/>
      <c r="S15" s="88"/>
      <c r="T15" s="89"/>
    </row>
    <row r="16" spans="1:20" s="92" customFormat="1" ht="12.75">
      <c r="A16" s="62"/>
      <c r="B16" s="163"/>
      <c r="C16" s="164"/>
      <c r="D16" s="199"/>
      <c r="E16" s="200" t="s">
        <v>111</v>
      </c>
      <c r="F16" s="200"/>
      <c r="G16" s="199">
        <v>6</v>
      </c>
      <c r="H16" s="249"/>
      <c r="I16" s="199"/>
      <c r="J16" s="200">
        <f>ROUND(F16*G16/1000,5)</f>
        <v>0</v>
      </c>
      <c r="K16" s="200"/>
      <c r="L16" s="199">
        <v>6</v>
      </c>
      <c r="M16" s="249">
        <f>H16</f>
        <v>0</v>
      </c>
      <c r="N16" s="249"/>
      <c r="O16" s="200">
        <f>ROUND(K16*L16/1000,5)</f>
        <v>0</v>
      </c>
      <c r="P16" s="200"/>
      <c r="Q16" s="199">
        <v>6</v>
      </c>
      <c r="R16" s="249"/>
      <c r="S16" s="249"/>
      <c r="T16" s="200">
        <f>ROUND(P16*Q16*S16/1000,5)</f>
        <v>0</v>
      </c>
    </row>
    <row r="17" spans="1:20" s="248" customFormat="1" ht="12.75">
      <c r="A17" s="242"/>
      <c r="B17" s="243"/>
      <c r="C17" s="244"/>
      <c r="D17" s="245"/>
      <c r="E17" s="245"/>
      <c r="F17" s="246"/>
      <c r="G17" s="245"/>
      <c r="H17" s="247"/>
      <c r="I17" s="247"/>
      <c r="J17" s="246"/>
      <c r="K17" s="246"/>
      <c r="L17" s="245"/>
      <c r="M17" s="247"/>
      <c r="N17" s="247"/>
      <c r="O17" s="246"/>
      <c r="P17" s="246"/>
      <c r="Q17" s="245"/>
      <c r="R17" s="247"/>
      <c r="S17" s="247"/>
      <c r="T17" s="246"/>
    </row>
    <row r="18" spans="1:20" s="92" customFormat="1" ht="12.75">
      <c r="A18" s="62"/>
      <c r="B18" s="163"/>
      <c r="C18" s="164"/>
      <c r="D18" s="85"/>
      <c r="E18" s="85"/>
      <c r="F18" s="86"/>
      <c r="G18" s="85"/>
      <c r="H18" s="66"/>
      <c r="I18" s="88"/>
      <c r="J18" s="89"/>
      <c r="K18" s="86"/>
      <c r="L18" s="85"/>
      <c r="M18" s="87"/>
      <c r="N18" s="88"/>
      <c r="O18" s="89"/>
      <c r="P18" s="86"/>
      <c r="Q18" s="85"/>
      <c r="R18" s="87"/>
      <c r="S18" s="88"/>
      <c r="T18" s="89"/>
    </row>
    <row r="19" spans="1:20" s="72" customFormat="1" ht="25.5" customHeight="1">
      <c r="A19" s="93"/>
      <c r="B19" s="532" t="s">
        <v>78</v>
      </c>
      <c r="C19" s="533"/>
      <c r="D19" s="94">
        <f>SUM(D11:D13)</f>
        <v>0</v>
      </c>
      <c r="E19" s="94"/>
      <c r="F19" s="95" t="e">
        <f>ROUND(J19/I19/G19*1000,8)</f>
        <v>#DIV/0!</v>
      </c>
      <c r="G19" s="96">
        <v>6</v>
      </c>
      <c r="H19" s="94">
        <f>SUM(H11:H18)-H17</f>
        <v>0</v>
      </c>
      <c r="I19" s="94">
        <f>SUM(I11:I18)-I17</f>
        <v>0</v>
      </c>
      <c r="J19" s="94">
        <f>SUM(J11:J18)</f>
        <v>0</v>
      </c>
      <c r="K19" s="95" t="e">
        <f>ROUND(O19/N19/L19*1000,8)</f>
        <v>#DIV/0!</v>
      </c>
      <c r="L19" s="96">
        <v>6</v>
      </c>
      <c r="M19" s="94">
        <f>SUM(M11:M18)-M17</f>
        <v>0</v>
      </c>
      <c r="N19" s="94">
        <f>SUM(N11:N18)-N17</f>
        <v>0</v>
      </c>
      <c r="O19" s="94">
        <f>SUM(O11:O18)</f>
        <v>0</v>
      </c>
      <c r="P19" s="111" t="e">
        <f>ROUND(T19/S19/Q19*1000,8)</f>
        <v>#DIV/0!</v>
      </c>
      <c r="Q19" s="96">
        <v>6</v>
      </c>
      <c r="R19" s="94">
        <f>SUM(R11:R18)-R17</f>
        <v>0</v>
      </c>
      <c r="S19" s="94">
        <f>SUM(S11:S18)-S17</f>
        <v>0</v>
      </c>
      <c r="T19" s="94">
        <f>SUM(T11:T18)</f>
        <v>0</v>
      </c>
    </row>
    <row r="20" spans="1:20" s="72" customFormat="1" ht="13.5" customHeight="1">
      <c r="A20" s="39"/>
      <c r="B20" s="98"/>
      <c r="C20" s="98"/>
      <c r="D20" s="99"/>
      <c r="E20" s="99"/>
      <c r="F20" s="100"/>
      <c r="G20" s="101"/>
      <c r="H20" s="102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s="72" customFormat="1" ht="12.75">
      <c r="A21" s="39"/>
      <c r="B21" s="98"/>
      <c r="C21" s="98"/>
      <c r="D21" s="98"/>
      <c r="E21" s="98"/>
      <c r="F21" s="104"/>
      <c r="G21" s="101"/>
      <c r="H21" s="102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s="72" customFormat="1" ht="14.25" customHeight="1">
      <c r="A22" s="39"/>
      <c r="B22" s="98"/>
      <c r="C22" s="98"/>
      <c r="D22" s="98"/>
      <c r="E22" s="98"/>
      <c r="F22" s="114"/>
      <c r="G22" s="101"/>
      <c r="H22" s="115"/>
      <c r="I22" s="116"/>
      <c r="J22" s="103"/>
      <c r="K22" s="114"/>
      <c r="L22" s="101"/>
      <c r="M22" s="115"/>
      <c r="N22" s="116"/>
      <c r="O22" s="103"/>
      <c r="P22" s="114"/>
      <c r="Q22" s="101"/>
      <c r="R22" s="115"/>
      <c r="S22" s="116"/>
      <c r="T22" s="103"/>
    </row>
    <row r="23" spans="1:20" s="72" customFormat="1" ht="14.25" customHeight="1">
      <c r="A23" s="39"/>
      <c r="B23" s="98"/>
      <c r="C23" s="98"/>
      <c r="D23" s="98"/>
      <c r="E23" s="98"/>
      <c r="F23" s="114"/>
      <c r="G23" s="101"/>
      <c r="H23" s="115"/>
      <c r="I23" s="116"/>
      <c r="J23" s="103"/>
      <c r="K23" s="114"/>
      <c r="L23" s="101"/>
      <c r="M23" s="115"/>
      <c r="N23" s="116"/>
      <c r="O23" s="103"/>
      <c r="P23" s="114"/>
      <c r="Q23" s="101"/>
      <c r="R23" s="115"/>
      <c r="S23" s="116"/>
      <c r="T23" s="103"/>
    </row>
    <row r="24" spans="1:7" s="81" customFormat="1" ht="15.75">
      <c r="A24" s="117"/>
      <c r="B24" s="118"/>
      <c r="C24" s="118"/>
      <c r="D24" s="118"/>
      <c r="E24" s="118"/>
      <c r="F24" s="118"/>
      <c r="G24" s="118"/>
    </row>
    <row r="25" spans="2:5" s="61" customFormat="1" ht="12.75">
      <c r="B25" s="61" t="s">
        <v>296</v>
      </c>
      <c r="C25" s="63"/>
      <c r="D25" s="63"/>
      <c r="E25" s="67"/>
    </row>
    <row r="26" s="61" customFormat="1" ht="12.75">
      <c r="G26" s="61" t="s">
        <v>42</v>
      </c>
    </row>
    <row r="27" spans="2:5" s="61" customFormat="1" ht="12.75">
      <c r="B27" s="61" t="s">
        <v>61</v>
      </c>
      <c r="C27" s="63"/>
      <c r="D27" s="63"/>
      <c r="E27" s="67"/>
    </row>
    <row r="28" spans="2:5" s="61" customFormat="1" ht="12.75">
      <c r="B28" s="61" t="s">
        <v>62</v>
      </c>
      <c r="C28" s="63"/>
      <c r="D28" s="63"/>
      <c r="E28" s="67"/>
    </row>
  </sheetData>
  <sheetProtection/>
  <mergeCells count="13">
    <mergeCell ref="P7:T7"/>
    <mergeCell ref="B2:T2"/>
    <mergeCell ref="B19:C19"/>
    <mergeCell ref="B5:N5"/>
    <mergeCell ref="F6:O6"/>
    <mergeCell ref="B3:Q3"/>
    <mergeCell ref="A7:A9"/>
    <mergeCell ref="B7:B9"/>
    <mergeCell ref="C7:C9"/>
    <mergeCell ref="D7:D9"/>
    <mergeCell ref="F7:J7"/>
    <mergeCell ref="K7:O7"/>
    <mergeCell ref="E7:E8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22"/>
  <sheetViews>
    <sheetView zoomScale="70" zoomScaleNormal="70" zoomScaleSheetLayoutView="70" zoomScalePageLayoutView="0" workbookViewId="0" topLeftCell="A1">
      <selection activeCell="F38" sqref="F38"/>
    </sheetView>
  </sheetViews>
  <sheetFormatPr defaultColWidth="9.00390625" defaultRowHeight="12.75"/>
  <cols>
    <col min="1" max="1" width="4.25390625" style="61" customWidth="1"/>
    <col min="2" max="2" width="20.875" style="61" customWidth="1"/>
    <col min="3" max="3" width="21.00390625" style="61" customWidth="1"/>
    <col min="4" max="4" width="14.125" style="61" customWidth="1"/>
    <col min="5" max="5" width="15.125" style="61" customWidth="1"/>
    <col min="6" max="6" width="6.625" style="61" customWidth="1"/>
    <col min="7" max="7" width="18.00390625" style="0" customWidth="1"/>
    <col min="8" max="8" width="16.125" style="0" customWidth="1"/>
    <col min="9" max="9" width="18.125" style="0" customWidth="1"/>
    <col min="10" max="10" width="14.875" style="0" customWidth="1"/>
    <col min="11" max="11" width="14.125" style="0" customWidth="1"/>
    <col min="12" max="12" width="7.625" style="0" customWidth="1"/>
    <col min="13" max="13" width="18.25390625" style="0" customWidth="1"/>
    <col min="14" max="14" width="15.125" style="0" customWidth="1"/>
    <col min="15" max="15" width="16.375" style="0" customWidth="1"/>
    <col min="16" max="16" width="14.875" style="0" customWidth="1"/>
    <col min="17" max="17" width="14.125" style="0" customWidth="1"/>
    <col min="18" max="18" width="7.625" style="0" customWidth="1"/>
    <col min="19" max="19" width="16.375" style="0" customWidth="1"/>
    <col min="20" max="20" width="15.125" style="0" customWidth="1"/>
    <col min="21" max="21" width="17.00390625" style="0" customWidth="1"/>
    <col min="22" max="23" width="9.00390625" style="0" customWidth="1"/>
    <col min="24" max="24" width="9.625" style="0" customWidth="1"/>
    <col min="25" max="25" width="6.00390625" style="0" customWidth="1"/>
    <col min="26" max="26" width="13.875" style="0" customWidth="1"/>
    <col min="27" max="27" width="12.75390625" style="0" customWidth="1"/>
    <col min="28" max="28" width="11.625" style="0" customWidth="1"/>
  </cols>
  <sheetData>
    <row r="1" spans="15:27" ht="12.75">
      <c r="O1" s="75"/>
      <c r="U1" s="75" t="s">
        <v>156</v>
      </c>
      <c r="X1" s="539"/>
      <c r="Y1" s="539"/>
      <c r="AA1" s="75"/>
    </row>
    <row r="2" spans="2:30" s="120" customFormat="1" ht="27.75" customHeight="1">
      <c r="B2" s="540" t="s">
        <v>303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121"/>
      <c r="Q2" s="121"/>
      <c r="R2" s="121"/>
      <c r="S2" s="121"/>
      <c r="T2" s="121"/>
      <c r="U2" s="121"/>
      <c r="V2" s="122"/>
      <c r="W2" s="122"/>
      <c r="X2" s="122"/>
      <c r="Y2" s="122"/>
      <c r="Z2" s="122"/>
      <c r="AA2" s="122"/>
      <c r="AB2" s="122"/>
      <c r="AC2" s="122"/>
      <c r="AD2" s="122"/>
    </row>
    <row r="3" spans="2:30" s="240" customFormat="1" ht="25.5" customHeight="1">
      <c r="B3" s="558" t="s">
        <v>157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250"/>
      <c r="U3" s="250"/>
      <c r="V3" s="251"/>
      <c r="W3" s="251"/>
      <c r="X3" s="251"/>
      <c r="Y3" s="251"/>
      <c r="Z3" s="251"/>
      <c r="AA3" s="251"/>
      <c r="AB3" s="251"/>
      <c r="AC3" s="251"/>
      <c r="AD3" s="251"/>
    </row>
    <row r="4" spans="1:27" s="81" customFormat="1" ht="15" customHeight="1">
      <c r="A4" s="153"/>
      <c r="B4" s="541" t="s">
        <v>158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154"/>
      <c r="O4" s="154"/>
      <c r="P4" s="154"/>
      <c r="Q4" s="154"/>
      <c r="R4" s="154"/>
      <c r="S4" s="154"/>
      <c r="T4" s="154"/>
      <c r="U4" s="154"/>
      <c r="V4" s="153"/>
      <c r="W4" s="153"/>
      <c r="X4" s="153"/>
      <c r="Y4" s="153"/>
      <c r="Z4" s="153"/>
      <c r="AA4" s="153"/>
    </row>
    <row r="5" spans="1:27" ht="11.25" customHeight="1">
      <c r="A5"/>
      <c r="B5"/>
      <c r="C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80"/>
      <c r="AA5" s="80"/>
    </row>
    <row r="6" spans="1:21" s="81" customFormat="1" ht="34.5" customHeight="1">
      <c r="A6" s="517" t="s">
        <v>55</v>
      </c>
      <c r="B6" s="518" t="s">
        <v>96</v>
      </c>
      <c r="C6" s="520" t="s">
        <v>56</v>
      </c>
      <c r="D6" s="542" t="s">
        <v>64</v>
      </c>
      <c r="E6" s="543"/>
      <c r="F6" s="543"/>
      <c r="G6" s="543"/>
      <c r="H6" s="543"/>
      <c r="I6" s="544"/>
      <c r="J6" s="545" t="s">
        <v>301</v>
      </c>
      <c r="K6" s="546"/>
      <c r="L6" s="546"/>
      <c r="M6" s="546"/>
      <c r="N6" s="546"/>
      <c r="O6" s="547"/>
      <c r="P6" s="559" t="s">
        <v>302</v>
      </c>
      <c r="Q6" s="559"/>
      <c r="R6" s="559"/>
      <c r="S6" s="559"/>
      <c r="T6" s="559"/>
      <c r="U6" s="559"/>
    </row>
    <row r="7" spans="1:21" s="81" customFormat="1" ht="61.5" customHeight="1">
      <c r="A7" s="517"/>
      <c r="B7" s="519"/>
      <c r="C7" s="521"/>
      <c r="D7" s="556" t="s">
        <v>159</v>
      </c>
      <c r="E7" s="537" t="s">
        <v>160</v>
      </c>
      <c r="F7" s="550" t="s">
        <v>65</v>
      </c>
      <c r="G7" s="552" t="s">
        <v>79</v>
      </c>
      <c r="H7" s="554" t="s">
        <v>54</v>
      </c>
      <c r="I7" s="555"/>
      <c r="J7" s="556" t="s">
        <v>159</v>
      </c>
      <c r="K7" s="537" t="s">
        <v>160</v>
      </c>
      <c r="L7" s="550" t="s">
        <v>95</v>
      </c>
      <c r="M7" s="552" t="s">
        <v>80</v>
      </c>
      <c r="N7" s="554" t="s">
        <v>54</v>
      </c>
      <c r="O7" s="555"/>
      <c r="P7" s="556" t="s">
        <v>159</v>
      </c>
      <c r="Q7" s="560" t="s">
        <v>160</v>
      </c>
      <c r="R7" s="550" t="s">
        <v>94</v>
      </c>
      <c r="S7" s="552" t="s">
        <v>84</v>
      </c>
      <c r="T7" s="554" t="s">
        <v>54</v>
      </c>
      <c r="U7" s="555"/>
    </row>
    <row r="8" spans="1:21" s="84" customFormat="1" ht="141.75" customHeight="1">
      <c r="A8" s="517"/>
      <c r="B8" s="519"/>
      <c r="C8" s="522"/>
      <c r="D8" s="557"/>
      <c r="E8" s="538"/>
      <c r="F8" s="551"/>
      <c r="G8" s="553"/>
      <c r="H8" s="151" t="s">
        <v>161</v>
      </c>
      <c r="I8" s="252" t="s">
        <v>162</v>
      </c>
      <c r="J8" s="557"/>
      <c r="K8" s="538"/>
      <c r="L8" s="551"/>
      <c r="M8" s="553"/>
      <c r="N8" s="151" t="s">
        <v>163</v>
      </c>
      <c r="O8" s="151" t="s">
        <v>164</v>
      </c>
      <c r="P8" s="557"/>
      <c r="Q8" s="561"/>
      <c r="R8" s="551"/>
      <c r="S8" s="553"/>
      <c r="T8" s="151" t="s">
        <v>165</v>
      </c>
      <c r="U8" s="151" t="s">
        <v>166</v>
      </c>
    </row>
    <row r="9" spans="1:21" s="90" customFormat="1" ht="12.75">
      <c r="A9" s="461">
        <v>1</v>
      </c>
      <c r="B9" s="85">
        <f aca="true" t="shared" si="0" ref="B9:U9">A9+1</f>
        <v>2</v>
      </c>
      <c r="C9" s="85">
        <f t="shared" si="0"/>
        <v>3</v>
      </c>
      <c r="D9" s="85">
        <f t="shared" si="0"/>
        <v>4</v>
      </c>
      <c r="E9" s="85">
        <f t="shared" si="0"/>
        <v>5</v>
      </c>
      <c r="F9" s="85">
        <f t="shared" si="0"/>
        <v>6</v>
      </c>
      <c r="G9" s="461">
        <f t="shared" si="0"/>
        <v>7</v>
      </c>
      <c r="H9" s="461">
        <f t="shared" si="0"/>
        <v>8</v>
      </c>
      <c r="I9" s="461">
        <f t="shared" si="0"/>
        <v>9</v>
      </c>
      <c r="J9" s="85">
        <f t="shared" si="0"/>
        <v>10</v>
      </c>
      <c r="K9" s="85">
        <f t="shared" si="0"/>
        <v>11</v>
      </c>
      <c r="L9" s="85">
        <f t="shared" si="0"/>
        <v>12</v>
      </c>
      <c r="M9" s="461">
        <f t="shared" si="0"/>
        <v>13</v>
      </c>
      <c r="N9" s="461">
        <f t="shared" si="0"/>
        <v>14</v>
      </c>
      <c r="O9" s="461">
        <f t="shared" si="0"/>
        <v>15</v>
      </c>
      <c r="P9" s="85">
        <f t="shared" si="0"/>
        <v>16</v>
      </c>
      <c r="Q9" s="85">
        <f t="shared" si="0"/>
        <v>17</v>
      </c>
      <c r="R9" s="85">
        <f t="shared" si="0"/>
        <v>18</v>
      </c>
      <c r="S9" s="461">
        <f t="shared" si="0"/>
        <v>19</v>
      </c>
      <c r="T9" s="461">
        <f t="shared" si="0"/>
        <v>20</v>
      </c>
      <c r="U9" s="461">
        <f t="shared" si="0"/>
        <v>21</v>
      </c>
    </row>
    <row r="10" spans="1:21" s="90" customFormat="1" ht="12.75">
      <c r="A10" s="85">
        <v>1</v>
      </c>
      <c r="B10" s="85">
        <f>'норм. ХВС для ПО (4-3) '!B11</f>
        <v>0</v>
      </c>
      <c r="C10" s="85">
        <f>'норм. ХВС для ПО (4-3) '!C11</f>
        <v>0</v>
      </c>
      <c r="D10" s="87"/>
      <c r="E10" s="87"/>
      <c r="F10" s="65" t="e">
        <f>ROUND(E10/D10*100,1)</f>
        <v>#DIV/0!</v>
      </c>
      <c r="G10" s="89">
        <f>'норм. ХВС для ПО (4-3) '!J11</f>
        <v>0</v>
      </c>
      <c r="H10" s="66">
        <f>ROUND(D10*G10,3)</f>
        <v>0</v>
      </c>
      <c r="I10" s="66">
        <f>ROUND(E10*G10,3)</f>
        <v>0</v>
      </c>
      <c r="J10" s="87"/>
      <c r="K10" s="87"/>
      <c r="L10" s="65" t="e">
        <f>ROUND(K10/J10*100,1)</f>
        <v>#DIV/0!</v>
      </c>
      <c r="M10" s="89">
        <f>'норм. ХВС для ПО (4-3) '!O11</f>
        <v>0</v>
      </c>
      <c r="N10" s="66">
        <f>ROUND(J10*M10,3)</f>
        <v>0</v>
      </c>
      <c r="O10" s="66">
        <f>ROUND(K10*G10,3)</f>
        <v>0</v>
      </c>
      <c r="P10" s="87"/>
      <c r="Q10" s="87"/>
      <c r="R10" s="65" t="e">
        <f>ROUND(Q10/P10*100,1)</f>
        <v>#DIV/0!</v>
      </c>
      <c r="S10" s="89">
        <f>'норм. ХВС для ПО (4-3) '!T11</f>
        <v>0</v>
      </c>
      <c r="T10" s="66">
        <f>ROUND(P10*S10,3)</f>
        <v>0</v>
      </c>
      <c r="U10" s="66">
        <f>ROUND(Q10*G10,3)</f>
        <v>0</v>
      </c>
    </row>
    <row r="11" spans="1:21" s="90" customFormat="1" ht="12.75">
      <c r="A11" s="85"/>
      <c r="B11" s="85">
        <f>'норм. ХВС для ПО (4-3) '!B12</f>
        <v>0</v>
      </c>
      <c r="C11" s="85">
        <f>'норм. ХВС для ПО (4-3) '!C12</f>
        <v>0</v>
      </c>
      <c r="D11" s="87"/>
      <c r="E11" s="87"/>
      <c r="F11" s="65" t="e">
        <f>ROUND(E11/D11*100,1)</f>
        <v>#DIV/0!</v>
      </c>
      <c r="G11" s="89">
        <f>'норм. ХВС для ПО (4-3) '!J16</f>
        <v>0</v>
      </c>
      <c r="H11" s="66">
        <f>ROUND(D11*G11,3)</f>
        <v>0</v>
      </c>
      <c r="I11" s="66">
        <f>ROUND(E11*G11,3)</f>
        <v>0</v>
      </c>
      <c r="J11" s="87"/>
      <c r="K11" s="87"/>
      <c r="L11" s="65" t="e">
        <f>ROUND(K11/J11*100,1)</f>
        <v>#DIV/0!</v>
      </c>
      <c r="M11" s="89">
        <f>'норм. ХВС для ПО (4-3) '!O12</f>
        <v>0</v>
      </c>
      <c r="N11" s="66">
        <f>ROUND(J11*M11,3)</f>
        <v>0</v>
      </c>
      <c r="O11" s="66">
        <f>ROUND(K11*M11,3)</f>
        <v>0</v>
      </c>
      <c r="P11" s="87"/>
      <c r="Q11" s="87"/>
      <c r="R11" s="65" t="e">
        <f>ROUND(Q11/P11*100,1)</f>
        <v>#DIV/0!</v>
      </c>
      <c r="S11" s="89">
        <f>'норм. ХВС для ПО (4-3) '!T12</f>
        <v>0</v>
      </c>
      <c r="T11" s="66">
        <f>ROUND(P11*S11,3)</f>
        <v>0</v>
      </c>
      <c r="U11" s="66">
        <f>ROUND(Q11*G11,3)</f>
        <v>0</v>
      </c>
    </row>
    <row r="12" spans="1:21" s="92" customFormat="1" ht="12.75">
      <c r="A12" s="62"/>
      <c r="B12" s="85">
        <f>'норм. ХВС для ПО (4-3) '!B13</f>
        <v>0</v>
      </c>
      <c r="C12" s="85">
        <f>'норм. ХВС для ПО (4-3) '!C13</f>
        <v>0</v>
      </c>
      <c r="D12" s="87"/>
      <c r="E12" s="87"/>
      <c r="F12" s="65" t="e">
        <f>ROUND(E12/D12*100,1)</f>
        <v>#DIV/0!</v>
      </c>
      <c r="G12" s="89">
        <f>'норм. ХВС для ПО (4-3) '!J17</f>
        <v>0</v>
      </c>
      <c r="H12" s="66">
        <f>ROUND(D12*G12,3)</f>
        <v>0</v>
      </c>
      <c r="I12" s="66">
        <f>ROUND(E12*G12,3)</f>
        <v>0</v>
      </c>
      <c r="J12" s="87"/>
      <c r="K12" s="87"/>
      <c r="L12" s="65" t="e">
        <f>ROUND(K12/J12*100,1)</f>
        <v>#DIV/0!</v>
      </c>
      <c r="M12" s="89">
        <f>'норм. ХВС для ПО (4-3) '!O13</f>
        <v>0</v>
      </c>
      <c r="N12" s="66">
        <f>ROUND(J12*M12,3)</f>
        <v>0</v>
      </c>
      <c r="O12" s="66">
        <f>ROUND(K12*G12,3)</f>
        <v>0</v>
      </c>
      <c r="P12" s="126"/>
      <c r="Q12" s="87"/>
      <c r="R12" s="65" t="e">
        <f>ROUND(Q12/P12*100,1)</f>
        <v>#DIV/0!</v>
      </c>
      <c r="S12" s="89">
        <f>'норм. ХВС для ПО (4-3) '!T13</f>
        <v>0</v>
      </c>
      <c r="T12" s="66">
        <f>ROUND(P12*S12,3)</f>
        <v>0</v>
      </c>
      <c r="U12" s="66">
        <f>ROUND(Q12*G12,3)</f>
        <v>0</v>
      </c>
    </row>
    <row r="13" spans="1:21" s="92" customFormat="1" ht="12.75">
      <c r="A13" s="128"/>
      <c r="B13" s="85"/>
      <c r="C13" s="85"/>
      <c r="D13" s="126"/>
      <c r="E13" s="87"/>
      <c r="F13" s="65"/>
      <c r="G13" s="89"/>
      <c r="H13" s="66"/>
      <c r="I13" s="66"/>
      <c r="J13" s="126"/>
      <c r="K13" s="87"/>
      <c r="L13" s="65"/>
      <c r="M13" s="89"/>
      <c r="N13" s="66"/>
      <c r="O13" s="66"/>
      <c r="P13" s="126"/>
      <c r="Q13" s="87"/>
      <c r="R13" s="65"/>
      <c r="S13" s="89"/>
      <c r="T13" s="66"/>
      <c r="U13" s="66"/>
    </row>
    <row r="14" spans="1:21" s="72" customFormat="1" ht="29.25" customHeight="1">
      <c r="A14" s="93"/>
      <c r="B14" s="548" t="s">
        <v>78</v>
      </c>
      <c r="C14" s="549"/>
      <c r="D14" s="129" t="e">
        <f>ROUND(H14/G14,6)</f>
        <v>#DIV/0!</v>
      </c>
      <c r="E14" s="129" t="e">
        <f>ROUND(I14/G14,6)</f>
        <v>#DIV/0!</v>
      </c>
      <c r="F14" s="65" t="e">
        <f>ROUND(E14/D14*100,1)</f>
        <v>#DIV/0!</v>
      </c>
      <c r="G14" s="130">
        <f>SUM(G10:G13)</f>
        <v>0</v>
      </c>
      <c r="H14" s="130">
        <f>SUM(H10:H13)</f>
        <v>0</v>
      </c>
      <c r="I14" s="130">
        <f>SUM(I10:I13)</f>
        <v>0</v>
      </c>
      <c r="J14" s="129" t="e">
        <f>ROUND(N14/M14,6)</f>
        <v>#DIV/0!</v>
      </c>
      <c r="K14" s="129" t="e">
        <f>ROUND(O14/M14,6)</f>
        <v>#DIV/0!</v>
      </c>
      <c r="L14" s="131" t="e">
        <f>ROUND(K14/J14*100,1)</f>
        <v>#DIV/0!</v>
      </c>
      <c r="M14" s="130">
        <f>SUM(M10:M13)</f>
        <v>0</v>
      </c>
      <c r="N14" s="130">
        <f>SUM(N10:N13)</f>
        <v>0</v>
      </c>
      <c r="O14" s="130">
        <f>SUM(O10:O13)</f>
        <v>0</v>
      </c>
      <c r="P14" s="129" t="e">
        <f>ROUND(T14/S14,6)</f>
        <v>#DIV/0!</v>
      </c>
      <c r="Q14" s="129" t="e">
        <f>ROUND(U14/S14,6)</f>
        <v>#DIV/0!</v>
      </c>
      <c r="R14" s="131" t="e">
        <f>ROUND(Q14/P14*100,1)</f>
        <v>#DIV/0!</v>
      </c>
      <c r="S14" s="130">
        <f>SUM(S10:S13)</f>
        <v>0</v>
      </c>
      <c r="T14" s="130">
        <f>SUM(T10:T13)</f>
        <v>0</v>
      </c>
      <c r="U14" s="130">
        <f>SUM(U10:U13)</f>
        <v>0</v>
      </c>
    </row>
    <row r="15" spans="1:18" s="81" customFormat="1" ht="34.5">
      <c r="A15" s="117"/>
      <c r="B15" s="118"/>
      <c r="C15" s="132" t="s">
        <v>81</v>
      </c>
      <c r="D15" s="69" t="s">
        <v>68</v>
      </c>
      <c r="E15" s="69" t="s">
        <v>69</v>
      </c>
      <c r="F15" s="133"/>
      <c r="J15" s="69" t="s">
        <v>82</v>
      </c>
      <c r="K15" s="69" t="s">
        <v>83</v>
      </c>
      <c r="L15" s="133"/>
      <c r="P15" s="69" t="s">
        <v>91</v>
      </c>
      <c r="Q15" s="69" t="s">
        <v>92</v>
      </c>
      <c r="R15" s="133"/>
    </row>
    <row r="16" spans="1:24" s="81" customFormat="1" ht="15.75">
      <c r="A16" s="117"/>
      <c r="B16" s="118"/>
      <c r="C16" s="132"/>
      <c r="D16" s="134"/>
      <c r="E16" s="134"/>
      <c r="F16" s="133"/>
      <c r="V16" s="134"/>
      <c r="W16" s="134"/>
      <c r="X16" s="134"/>
    </row>
    <row r="17" spans="1:24" s="81" customFormat="1" ht="15.75">
      <c r="A17" s="117"/>
      <c r="B17" s="118"/>
      <c r="C17" s="132"/>
      <c r="D17" s="134"/>
      <c r="E17" s="134"/>
      <c r="F17" s="133"/>
      <c r="V17" s="134"/>
      <c r="W17" s="134"/>
      <c r="X17" s="134"/>
    </row>
    <row r="18" spans="2:4" s="61" customFormat="1" ht="12.75">
      <c r="B18" s="61" t="s">
        <v>297</v>
      </c>
      <c r="C18" s="63"/>
      <c r="D18" s="63"/>
    </row>
    <row r="19" s="61" customFormat="1" ht="12.75">
      <c r="F19" s="61" t="s">
        <v>42</v>
      </c>
    </row>
    <row r="20" spans="2:4" s="61" customFormat="1" ht="12.75">
      <c r="B20" s="61" t="s">
        <v>61</v>
      </c>
      <c r="C20" s="63"/>
      <c r="D20" s="63"/>
    </row>
    <row r="21" spans="2:4" s="61" customFormat="1" ht="12.75">
      <c r="B21" s="61" t="s">
        <v>62</v>
      </c>
      <c r="C21" s="63"/>
      <c r="D21" s="63"/>
    </row>
    <row r="22" ht="12.75">
      <c r="F22" s="135"/>
    </row>
  </sheetData>
  <sheetProtection/>
  <mergeCells count="27">
    <mergeCell ref="B3:S3"/>
    <mergeCell ref="T7:U7"/>
    <mergeCell ref="P6:U6"/>
    <mergeCell ref="P7:P8"/>
    <mergeCell ref="Q7:Q8"/>
    <mergeCell ref="R7:R8"/>
    <mergeCell ref="S7:S8"/>
    <mergeCell ref="L7:L8"/>
    <mergeCell ref="M7:M8"/>
    <mergeCell ref="N7:O7"/>
    <mergeCell ref="B14:C14"/>
    <mergeCell ref="E7:E8"/>
    <mergeCell ref="F7:F8"/>
    <mergeCell ref="G7:G8"/>
    <mergeCell ref="H7:I7"/>
    <mergeCell ref="J7:J8"/>
    <mergeCell ref="D7:D8"/>
    <mergeCell ref="K7:K8"/>
    <mergeCell ref="X1:Y1"/>
    <mergeCell ref="B2:O2"/>
    <mergeCell ref="B4:M4"/>
    <mergeCell ref="D5:Y5"/>
    <mergeCell ref="A6:A8"/>
    <mergeCell ref="B6:B8"/>
    <mergeCell ref="C6:C8"/>
    <mergeCell ref="D6:I6"/>
    <mergeCell ref="J6:O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8"/>
  <sheetViews>
    <sheetView view="pageBreakPreview" zoomScale="60" zoomScaleNormal="80" zoomScalePageLayoutView="0" workbookViewId="0" topLeftCell="A1">
      <selection activeCell="O17" sqref="O17"/>
    </sheetView>
  </sheetViews>
  <sheetFormatPr defaultColWidth="9.00390625" defaultRowHeight="12.75"/>
  <cols>
    <col min="1" max="1" width="4.25390625" style="61" customWidth="1"/>
    <col min="2" max="2" width="20.875" style="61" customWidth="1"/>
    <col min="3" max="3" width="21.00390625" style="61" customWidth="1"/>
    <col min="4" max="4" width="16.875" style="61" customWidth="1"/>
    <col min="5" max="5" width="13.00390625" style="61" customWidth="1"/>
    <col min="6" max="6" width="11.625" style="61" customWidth="1"/>
    <col min="7" max="7" width="12.75390625" style="61" customWidth="1"/>
    <col min="8" max="8" width="11.625" style="0" customWidth="1"/>
    <col min="9" max="9" width="11.75390625" style="0" customWidth="1"/>
    <col min="10" max="10" width="12.00390625" style="0" customWidth="1"/>
    <col min="11" max="11" width="11.875" style="0" customWidth="1"/>
    <col min="12" max="12" width="13.00390625" style="0" customWidth="1"/>
    <col min="13" max="13" width="13.75390625" style="0" customWidth="1"/>
    <col min="14" max="14" width="14.375" style="0" customWidth="1"/>
    <col min="15" max="15" width="12.00390625" style="0" customWidth="1"/>
    <col min="16" max="16" width="11.875" style="0" customWidth="1"/>
    <col min="17" max="17" width="16.00390625" style="0" customWidth="1"/>
    <col min="18" max="18" width="13.75390625" style="0" customWidth="1"/>
    <col min="19" max="19" width="14.625" style="0" customWidth="1"/>
  </cols>
  <sheetData>
    <row r="1" spans="12:19" ht="12.75">
      <c r="L1" s="539"/>
      <c r="M1" s="539"/>
      <c r="N1" s="75"/>
      <c r="Q1" s="539" t="s">
        <v>167</v>
      </c>
      <c r="R1" s="539"/>
      <c r="S1" s="75"/>
    </row>
    <row r="2" spans="2:19" s="76" customFormat="1" ht="33" customHeight="1">
      <c r="B2" s="563" t="s">
        <v>304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136"/>
      <c r="S2" s="136"/>
    </row>
    <row r="3" spans="2:19" s="253" customFormat="1" ht="26.25" customHeight="1">
      <c r="B3" s="536" t="s">
        <v>168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254"/>
    </row>
    <row r="4" spans="2:19" s="76" customFormat="1" ht="21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48"/>
      <c r="P4" s="148"/>
      <c r="Q4" s="148"/>
      <c r="R4" s="148"/>
      <c r="S4" s="148"/>
    </row>
    <row r="5" spans="1:19" ht="20.25" customHeight="1">
      <c r="A5"/>
      <c r="B5" s="72" t="s">
        <v>158</v>
      </c>
      <c r="C5"/>
      <c r="D5"/>
      <c r="E5" s="137"/>
      <c r="F5" s="137"/>
      <c r="G5" s="137"/>
      <c r="H5" s="137"/>
      <c r="I5" s="137"/>
      <c r="J5" s="137"/>
      <c r="K5" s="137"/>
      <c r="L5" s="137"/>
      <c r="M5" s="137"/>
      <c r="N5" s="80"/>
      <c r="O5" s="137"/>
      <c r="P5" s="137"/>
      <c r="Q5" s="137"/>
      <c r="R5" s="137"/>
      <c r="S5" s="80"/>
    </row>
    <row r="6" spans="1:19" s="81" customFormat="1" ht="34.5" customHeight="1">
      <c r="A6" s="517" t="s">
        <v>55</v>
      </c>
      <c r="B6" s="518" t="s">
        <v>97</v>
      </c>
      <c r="C6" s="520" t="s">
        <v>56</v>
      </c>
      <c r="D6" s="520" t="s">
        <v>57</v>
      </c>
      <c r="E6" s="523" t="s">
        <v>64</v>
      </c>
      <c r="F6" s="524"/>
      <c r="G6" s="524"/>
      <c r="H6" s="524"/>
      <c r="I6" s="524"/>
      <c r="J6" s="562" t="s">
        <v>301</v>
      </c>
      <c r="K6" s="562"/>
      <c r="L6" s="562"/>
      <c r="M6" s="562"/>
      <c r="N6" s="562"/>
      <c r="O6" s="528" t="s">
        <v>302</v>
      </c>
      <c r="P6" s="529"/>
      <c r="Q6" s="529"/>
      <c r="R6" s="529"/>
      <c r="S6" s="529"/>
    </row>
    <row r="7" spans="1:19" s="81" customFormat="1" ht="132.75" customHeight="1">
      <c r="A7" s="517"/>
      <c r="B7" s="519"/>
      <c r="C7" s="521"/>
      <c r="D7" s="521"/>
      <c r="E7" s="88" t="s">
        <v>169</v>
      </c>
      <c r="F7" s="88" t="s">
        <v>58</v>
      </c>
      <c r="G7" s="88" t="s">
        <v>170</v>
      </c>
      <c r="H7" s="88" t="s">
        <v>171</v>
      </c>
      <c r="I7" s="88" t="s">
        <v>85</v>
      </c>
      <c r="J7" s="88" t="s">
        <v>169</v>
      </c>
      <c r="K7" s="88" t="s">
        <v>58</v>
      </c>
      <c r="L7" s="88" t="s">
        <v>170</v>
      </c>
      <c r="M7" s="85" t="s">
        <v>72</v>
      </c>
      <c r="N7" s="85" t="s">
        <v>86</v>
      </c>
      <c r="O7" s="88" t="s">
        <v>169</v>
      </c>
      <c r="P7" s="88" t="s">
        <v>171</v>
      </c>
      <c r="Q7" s="88" t="s">
        <v>170</v>
      </c>
      <c r="R7" s="85" t="s">
        <v>72</v>
      </c>
      <c r="S7" s="85" t="s">
        <v>90</v>
      </c>
    </row>
    <row r="8" spans="1:19" s="84" customFormat="1" ht="15.75" customHeight="1">
      <c r="A8" s="517"/>
      <c r="B8" s="519"/>
      <c r="C8" s="522"/>
      <c r="D8" s="522"/>
      <c r="E8" s="82" t="s">
        <v>75</v>
      </c>
      <c r="F8" s="82" t="s">
        <v>59</v>
      </c>
      <c r="G8" s="70" t="s">
        <v>60</v>
      </c>
      <c r="H8" s="70" t="s">
        <v>7</v>
      </c>
      <c r="I8" s="82" t="s">
        <v>76</v>
      </c>
      <c r="J8" s="82" t="s">
        <v>75</v>
      </c>
      <c r="K8" s="83" t="s">
        <v>59</v>
      </c>
      <c r="L8" s="70" t="s">
        <v>60</v>
      </c>
      <c r="M8" s="70" t="s">
        <v>7</v>
      </c>
      <c r="N8" s="83" t="s">
        <v>76</v>
      </c>
      <c r="O8" s="82" t="s">
        <v>75</v>
      </c>
      <c r="P8" s="83" t="s">
        <v>59</v>
      </c>
      <c r="Q8" s="70" t="s">
        <v>60</v>
      </c>
      <c r="R8" s="70" t="s">
        <v>7</v>
      </c>
      <c r="S8" s="83" t="s">
        <v>76</v>
      </c>
    </row>
    <row r="9" spans="1:19" s="108" customFormat="1" ht="11.25">
      <c r="A9" s="105">
        <v>1</v>
      </c>
      <c r="B9" s="106">
        <f>A9+1</f>
        <v>2</v>
      </c>
      <c r="C9" s="106">
        <f aca="true" t="shared" si="0" ref="C9:S9">B9+1</f>
        <v>3</v>
      </c>
      <c r="D9" s="106" t="s">
        <v>87</v>
      </c>
      <c r="E9" s="107">
        <f>C9+1</f>
        <v>4</v>
      </c>
      <c r="F9" s="107">
        <f t="shared" si="0"/>
        <v>5</v>
      </c>
      <c r="G9" s="105">
        <f t="shared" si="0"/>
        <v>6</v>
      </c>
      <c r="H9" s="105">
        <f t="shared" si="0"/>
        <v>7</v>
      </c>
      <c r="I9" s="105">
        <f t="shared" si="0"/>
        <v>8</v>
      </c>
      <c r="J9" s="107">
        <f t="shared" si="0"/>
        <v>9</v>
      </c>
      <c r="K9" s="107">
        <f t="shared" si="0"/>
        <v>10</v>
      </c>
      <c r="L9" s="105">
        <f t="shared" si="0"/>
        <v>11</v>
      </c>
      <c r="M9" s="105">
        <f t="shared" si="0"/>
        <v>12</v>
      </c>
      <c r="N9" s="105">
        <f t="shared" si="0"/>
        <v>13</v>
      </c>
      <c r="O9" s="159">
        <f t="shared" si="0"/>
        <v>14</v>
      </c>
      <c r="P9" s="106">
        <f t="shared" si="0"/>
        <v>15</v>
      </c>
      <c r="Q9" s="106">
        <f t="shared" si="0"/>
        <v>16</v>
      </c>
      <c r="R9" s="106">
        <f t="shared" si="0"/>
        <v>17</v>
      </c>
      <c r="S9" s="106">
        <f t="shared" si="0"/>
        <v>18</v>
      </c>
    </row>
    <row r="10" spans="1:19" s="90" customFormat="1" ht="12.75">
      <c r="A10" s="85">
        <v>1</v>
      </c>
      <c r="B10" s="85"/>
      <c r="C10" s="85"/>
      <c r="D10" s="85"/>
      <c r="E10" s="86"/>
      <c r="F10" s="85">
        <v>6</v>
      </c>
      <c r="G10" s="73"/>
      <c r="H10" s="71"/>
      <c r="I10" s="89">
        <f>ROUND(E10*F10*H10/1000,5)</f>
        <v>0</v>
      </c>
      <c r="J10" s="89"/>
      <c r="K10" s="85">
        <v>6</v>
      </c>
      <c r="L10" s="73">
        <f aca="true" t="shared" si="1" ref="L10:M14">G10</f>
        <v>0</v>
      </c>
      <c r="M10" s="73">
        <f t="shared" si="1"/>
        <v>0</v>
      </c>
      <c r="N10" s="89">
        <f>ROUND(J10*K10*M10/1000,5)</f>
        <v>0</v>
      </c>
      <c r="O10" s="89"/>
      <c r="P10" s="85">
        <v>6</v>
      </c>
      <c r="Q10" s="73">
        <f aca="true" t="shared" si="2" ref="Q10:R14">G10</f>
        <v>0</v>
      </c>
      <c r="R10" s="73">
        <f t="shared" si="2"/>
        <v>0</v>
      </c>
      <c r="S10" s="89">
        <f>ROUND(O10*P10*R10/1000,5)</f>
        <v>0</v>
      </c>
    </row>
    <row r="11" spans="1:19" s="90" customFormat="1" ht="12.75">
      <c r="A11" s="85"/>
      <c r="B11" s="85"/>
      <c r="C11" s="91"/>
      <c r="D11" s="91"/>
      <c r="E11" s="86"/>
      <c r="F11" s="85">
        <v>6</v>
      </c>
      <c r="G11" s="73"/>
      <c r="H11" s="71"/>
      <c r="I11" s="89">
        <f>ROUND(E11*F11*H11/1000,5)</f>
        <v>0</v>
      </c>
      <c r="J11" s="89"/>
      <c r="K11" s="85">
        <v>6</v>
      </c>
      <c r="L11" s="73">
        <f t="shared" si="1"/>
        <v>0</v>
      </c>
      <c r="M11" s="73">
        <f t="shared" si="1"/>
        <v>0</v>
      </c>
      <c r="N11" s="89">
        <f>ROUND(J11*K11*M11/1000,5)</f>
        <v>0</v>
      </c>
      <c r="O11" s="89"/>
      <c r="P11" s="85">
        <v>6</v>
      </c>
      <c r="Q11" s="73">
        <f t="shared" si="2"/>
        <v>0</v>
      </c>
      <c r="R11" s="73">
        <f t="shared" si="2"/>
        <v>0</v>
      </c>
      <c r="S11" s="89">
        <f>ROUND(O11*P11*R11/1000,5)</f>
        <v>0</v>
      </c>
    </row>
    <row r="12" spans="1:19" s="92" customFormat="1" ht="12.75">
      <c r="A12" s="62"/>
      <c r="B12" s="62"/>
      <c r="C12" s="62"/>
      <c r="D12" s="62"/>
      <c r="E12" s="109"/>
      <c r="F12" s="85">
        <v>6</v>
      </c>
      <c r="G12" s="66"/>
      <c r="H12" s="138"/>
      <c r="I12" s="89">
        <f>ROUND(E12*F12*H12/1000,5)</f>
        <v>0</v>
      </c>
      <c r="J12" s="139"/>
      <c r="K12" s="85">
        <v>6</v>
      </c>
      <c r="L12" s="73">
        <f t="shared" si="1"/>
        <v>0</v>
      </c>
      <c r="M12" s="73">
        <f t="shared" si="1"/>
        <v>0</v>
      </c>
      <c r="N12" s="89">
        <f>ROUND(J12*K12*M12/1000,5)</f>
        <v>0</v>
      </c>
      <c r="O12" s="86"/>
      <c r="P12" s="85">
        <v>6</v>
      </c>
      <c r="Q12" s="73">
        <f t="shared" si="2"/>
        <v>0</v>
      </c>
      <c r="R12" s="73">
        <f t="shared" si="2"/>
        <v>0</v>
      </c>
      <c r="S12" s="89">
        <f>ROUND(O12*P12*R12/1000,5)</f>
        <v>0</v>
      </c>
    </row>
    <row r="13" spans="1:19" s="92" customFormat="1" ht="12.75">
      <c r="A13" s="62"/>
      <c r="B13" s="113"/>
      <c r="C13" s="140"/>
      <c r="D13" s="140"/>
      <c r="E13" s="111"/>
      <c r="F13" s="85">
        <v>6</v>
      </c>
      <c r="G13" s="66"/>
      <c r="H13" s="138"/>
      <c r="I13" s="89">
        <f>ROUND(E13*F13*H13/1000,5)</f>
        <v>0</v>
      </c>
      <c r="J13" s="139"/>
      <c r="K13" s="85">
        <v>6</v>
      </c>
      <c r="L13" s="73">
        <f t="shared" si="1"/>
        <v>0</v>
      </c>
      <c r="M13" s="73">
        <f t="shared" si="1"/>
        <v>0</v>
      </c>
      <c r="N13" s="89">
        <f>ROUND(J13*K13*M13/1000,5)</f>
        <v>0</v>
      </c>
      <c r="O13" s="86"/>
      <c r="P13" s="85">
        <v>6</v>
      </c>
      <c r="Q13" s="73">
        <f t="shared" si="2"/>
        <v>0</v>
      </c>
      <c r="R13" s="73">
        <f t="shared" si="2"/>
        <v>0</v>
      </c>
      <c r="S13" s="89">
        <f>ROUND(O13*P13*R13/1000,5)</f>
        <v>0</v>
      </c>
    </row>
    <row r="14" spans="1:19" s="92" customFormat="1" ht="12.75">
      <c r="A14" s="128"/>
      <c r="B14" s="255"/>
      <c r="C14" s="256"/>
      <c r="D14" s="257" t="s">
        <v>172</v>
      </c>
      <c r="E14" s="258"/>
      <c r="F14" s="199">
        <v>6</v>
      </c>
      <c r="G14" s="259"/>
      <c r="H14" s="260"/>
      <c r="I14" s="200">
        <f>ROUND(E14*F14/1000,5)</f>
        <v>0</v>
      </c>
      <c r="J14" s="261"/>
      <c r="K14" s="199">
        <v>6</v>
      </c>
      <c r="L14" s="262">
        <f t="shared" si="1"/>
        <v>0</v>
      </c>
      <c r="M14" s="262">
        <f t="shared" si="1"/>
        <v>0</v>
      </c>
      <c r="N14" s="200">
        <f>ROUND(J14*K14*M14/1000,5)</f>
        <v>0</v>
      </c>
      <c r="O14" s="200"/>
      <c r="P14" s="199">
        <v>6</v>
      </c>
      <c r="Q14" s="262">
        <f t="shared" si="2"/>
        <v>0</v>
      </c>
      <c r="R14" s="262">
        <f t="shared" si="2"/>
        <v>0</v>
      </c>
      <c r="S14" s="200">
        <f>ROUND(O14*P14*R14/1000,5)</f>
        <v>0</v>
      </c>
    </row>
    <row r="15" spans="1:19" s="81" customFormat="1" ht="15.75">
      <c r="A15" s="141"/>
      <c r="B15" s="142"/>
      <c r="C15" s="142"/>
      <c r="D15" s="142"/>
      <c r="E15" s="143"/>
      <c r="F15" s="85">
        <v>6</v>
      </c>
      <c r="G15" s="144"/>
      <c r="H15" s="145"/>
      <c r="I15" s="89"/>
      <c r="J15" s="146"/>
      <c r="K15" s="85"/>
      <c r="L15" s="73"/>
      <c r="M15" s="73"/>
      <c r="N15" s="89"/>
      <c r="O15" s="86"/>
      <c r="P15" s="85"/>
      <c r="Q15" s="73"/>
      <c r="R15" s="73"/>
      <c r="S15" s="89"/>
    </row>
    <row r="16" spans="1:19" s="72" customFormat="1" ht="25.5" customHeight="1">
      <c r="A16" s="93"/>
      <c r="B16" s="548" t="s">
        <v>78</v>
      </c>
      <c r="C16" s="549"/>
      <c r="D16" s="110">
        <f>SUM(D10:D15)</f>
        <v>0</v>
      </c>
      <c r="E16" s="111" t="e">
        <f>ROUND(I16/H16/F16*1000,8)</f>
        <v>#DIV/0!</v>
      </c>
      <c r="F16" s="96">
        <v>6</v>
      </c>
      <c r="G16" s="110">
        <f>SUM(G10:G15)</f>
        <v>0</v>
      </c>
      <c r="H16" s="112">
        <f>SUM(H10:H15)</f>
        <v>0</v>
      </c>
      <c r="I16" s="110">
        <f>SUM(I10:I15)</f>
        <v>0</v>
      </c>
      <c r="J16" s="111" t="e">
        <f>ROUND(N16/M16/K16*1000,8)</f>
        <v>#DIV/0!</v>
      </c>
      <c r="K16" s="96">
        <v>6</v>
      </c>
      <c r="L16" s="110">
        <f>SUM(L10:L15)</f>
        <v>0</v>
      </c>
      <c r="M16" s="147">
        <f>SUM(M10:M15)</f>
        <v>0</v>
      </c>
      <c r="N16" s="97">
        <f>SUM(N10:N15)</f>
        <v>0</v>
      </c>
      <c r="O16" s="111" t="e">
        <f>ROUND(S16/R16/P16*1000,8)</f>
        <v>#DIV/0!</v>
      </c>
      <c r="P16" s="96">
        <v>6</v>
      </c>
      <c r="Q16" s="110">
        <f>SUM(Q10:Q15)</f>
        <v>0</v>
      </c>
      <c r="R16" s="112">
        <f>SUM(R10:R15)</f>
        <v>0</v>
      </c>
      <c r="S16" s="110">
        <f>SUM(S10:S15)</f>
        <v>0</v>
      </c>
    </row>
    <row r="17" spans="1:19" s="72" customFormat="1" ht="12.75">
      <c r="A17" s="39"/>
      <c r="B17" s="98"/>
      <c r="C17" s="98"/>
      <c r="D17" s="98"/>
      <c r="E17" s="104"/>
      <c r="F17" s="101"/>
      <c r="G17" s="102"/>
      <c r="H17" s="102"/>
      <c r="I17" s="103"/>
      <c r="J17" s="102"/>
      <c r="K17" s="101"/>
      <c r="L17" s="102"/>
      <c r="M17" s="102"/>
      <c r="N17" s="103"/>
      <c r="O17" s="102"/>
      <c r="P17" s="101"/>
      <c r="Q17" s="102"/>
      <c r="R17" s="102"/>
      <c r="S17" s="103"/>
    </row>
    <row r="19" spans="1:6" s="81" customFormat="1" ht="15.75">
      <c r="A19" s="117"/>
      <c r="B19" s="118"/>
      <c r="C19" s="118"/>
      <c r="D19" s="118"/>
      <c r="E19" s="118"/>
      <c r="F19" s="118"/>
    </row>
    <row r="25" spans="2:4" s="61" customFormat="1" ht="12.75">
      <c r="B25" s="61" t="s">
        <v>297</v>
      </c>
      <c r="C25" s="63"/>
      <c r="D25" s="63"/>
    </row>
    <row r="26" s="61" customFormat="1" ht="12.75">
      <c r="F26" s="61" t="s">
        <v>42</v>
      </c>
    </row>
    <row r="27" spans="2:4" s="61" customFormat="1" ht="12.75">
      <c r="B27" s="61" t="s">
        <v>61</v>
      </c>
      <c r="C27" s="63"/>
      <c r="D27" s="63"/>
    </row>
    <row r="28" spans="2:4" s="61" customFormat="1" ht="12.75">
      <c r="B28" s="61" t="s">
        <v>62</v>
      </c>
      <c r="C28" s="63"/>
      <c r="D28" s="63"/>
    </row>
  </sheetData>
  <sheetProtection/>
  <mergeCells count="12">
    <mergeCell ref="B16:C16"/>
    <mergeCell ref="Q1:R1"/>
    <mergeCell ref="O6:S6"/>
    <mergeCell ref="B2:Q2"/>
    <mergeCell ref="L1:M1"/>
    <mergeCell ref="B3:R3"/>
    <mergeCell ref="A6:A8"/>
    <mergeCell ref="B6:B8"/>
    <mergeCell ref="C6:C8"/>
    <mergeCell ref="D6:D8"/>
    <mergeCell ref="E6:I6"/>
    <mergeCell ref="J6:N6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4"/>
  <sheetViews>
    <sheetView view="pageBreakPreview" zoomScale="80" zoomScaleNormal="90" zoomScaleSheetLayoutView="80" zoomScalePageLayoutView="0" workbookViewId="0" topLeftCell="A1">
      <selection activeCell="P6" sqref="P6:P7"/>
    </sheetView>
  </sheetViews>
  <sheetFormatPr defaultColWidth="9.00390625" defaultRowHeight="12.75"/>
  <cols>
    <col min="1" max="1" width="4.25390625" style="61" customWidth="1"/>
    <col min="2" max="2" width="20.875" style="61" customWidth="1"/>
    <col min="3" max="3" width="21.00390625" style="61" customWidth="1"/>
    <col min="4" max="4" width="13.375" style="61" customWidth="1"/>
    <col min="5" max="5" width="9.75390625" style="61" customWidth="1"/>
    <col min="6" max="6" width="6.75390625" style="61" customWidth="1"/>
    <col min="7" max="7" width="15.25390625" style="0" customWidth="1"/>
    <col min="8" max="8" width="12.875" style="0" customWidth="1"/>
    <col min="9" max="9" width="18.00390625" style="0" customWidth="1"/>
    <col min="10" max="10" width="9.00390625" style="0" customWidth="1"/>
    <col min="11" max="11" width="9.625" style="0" customWidth="1"/>
    <col min="12" max="12" width="6.00390625" style="0" customWidth="1"/>
    <col min="13" max="13" width="13.875" style="0" customWidth="1"/>
    <col min="14" max="14" width="12.75390625" style="0" customWidth="1"/>
    <col min="15" max="15" width="16.625" style="0" customWidth="1"/>
    <col min="16" max="16" width="11.375" style="0" customWidth="1"/>
    <col min="17" max="17" width="12.00390625" style="0" customWidth="1"/>
    <col min="18" max="18" width="5.625" style="0" customWidth="1"/>
    <col min="19" max="19" width="13.875" style="0" customWidth="1"/>
    <col min="20" max="20" width="13.125" style="0" customWidth="1"/>
    <col min="21" max="21" width="13.875" style="0" customWidth="1"/>
  </cols>
  <sheetData>
    <row r="1" spans="11:21" ht="12.75">
      <c r="K1" s="539"/>
      <c r="L1" s="539"/>
      <c r="N1" s="75"/>
      <c r="S1" s="539"/>
      <c r="T1" s="539"/>
      <c r="U1" s="75" t="s">
        <v>173</v>
      </c>
    </row>
    <row r="2" spans="2:21" s="76" customFormat="1" ht="23.25" customHeight="1">
      <c r="B2" s="540" t="s">
        <v>305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121"/>
      <c r="Q2" s="121"/>
      <c r="R2" s="121"/>
      <c r="S2" s="121"/>
      <c r="T2" s="121"/>
      <c r="U2" s="121"/>
    </row>
    <row r="3" spans="2:21" s="76" customFormat="1" ht="14.2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2:21" s="75" customFormat="1" ht="20.25" customHeight="1">
      <c r="B4" s="263" t="s">
        <v>174</v>
      </c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65"/>
      <c r="P4" s="264"/>
      <c r="Q4" s="264"/>
      <c r="R4" s="264"/>
      <c r="S4" s="264"/>
      <c r="T4" s="264"/>
      <c r="U4" s="265"/>
    </row>
    <row r="5" spans="1:21" s="81" customFormat="1" ht="34.5" customHeight="1">
      <c r="A5" s="517" t="s">
        <v>55</v>
      </c>
      <c r="B5" s="518" t="s">
        <v>98</v>
      </c>
      <c r="C5" s="520" t="s">
        <v>56</v>
      </c>
      <c r="D5" s="523" t="s">
        <v>64</v>
      </c>
      <c r="E5" s="524"/>
      <c r="F5" s="524"/>
      <c r="G5" s="524"/>
      <c r="H5" s="524"/>
      <c r="I5" s="568"/>
      <c r="J5" s="569" t="s">
        <v>301</v>
      </c>
      <c r="K5" s="570"/>
      <c r="L5" s="570"/>
      <c r="M5" s="570"/>
      <c r="N5" s="570"/>
      <c r="O5" s="571"/>
      <c r="P5" s="574" t="s">
        <v>302</v>
      </c>
      <c r="Q5" s="574"/>
      <c r="R5" s="574"/>
      <c r="S5" s="574"/>
      <c r="T5" s="574"/>
      <c r="U5" s="574"/>
    </row>
    <row r="6" spans="1:21" s="81" customFormat="1" ht="61.5" customHeight="1">
      <c r="A6" s="517"/>
      <c r="B6" s="519"/>
      <c r="C6" s="521"/>
      <c r="D6" s="564" t="s">
        <v>159</v>
      </c>
      <c r="E6" s="564" t="s">
        <v>160</v>
      </c>
      <c r="F6" s="566" t="s">
        <v>65</v>
      </c>
      <c r="G6" s="552" t="s">
        <v>176</v>
      </c>
      <c r="H6" s="554" t="s">
        <v>54</v>
      </c>
      <c r="I6" s="555"/>
      <c r="J6" s="564" t="s">
        <v>159</v>
      </c>
      <c r="K6" s="564" t="s">
        <v>160</v>
      </c>
      <c r="L6" s="566" t="s">
        <v>95</v>
      </c>
      <c r="M6" s="552" t="s">
        <v>177</v>
      </c>
      <c r="N6" s="554" t="s">
        <v>54</v>
      </c>
      <c r="O6" s="555"/>
      <c r="P6" s="575" t="s">
        <v>159</v>
      </c>
      <c r="Q6" s="577" t="s">
        <v>160</v>
      </c>
      <c r="R6" s="579" t="s">
        <v>94</v>
      </c>
      <c r="S6" s="581" t="s">
        <v>178</v>
      </c>
      <c r="T6" s="554" t="s">
        <v>54</v>
      </c>
      <c r="U6" s="555"/>
    </row>
    <row r="7" spans="1:21" s="84" customFormat="1" ht="120.75" customHeight="1">
      <c r="A7" s="517"/>
      <c r="B7" s="519"/>
      <c r="C7" s="522"/>
      <c r="D7" s="572"/>
      <c r="E7" s="572"/>
      <c r="F7" s="573"/>
      <c r="G7" s="553"/>
      <c r="H7" s="151" t="s">
        <v>161</v>
      </c>
      <c r="I7" s="266" t="s">
        <v>175</v>
      </c>
      <c r="J7" s="565"/>
      <c r="K7" s="565"/>
      <c r="L7" s="567"/>
      <c r="M7" s="553"/>
      <c r="N7" s="157" t="s">
        <v>163</v>
      </c>
      <c r="O7" s="158" t="s">
        <v>164</v>
      </c>
      <c r="P7" s="576"/>
      <c r="Q7" s="578"/>
      <c r="R7" s="580"/>
      <c r="S7" s="581"/>
      <c r="T7" s="151" t="s">
        <v>165</v>
      </c>
      <c r="U7" s="152" t="s">
        <v>166</v>
      </c>
    </row>
    <row r="8" spans="1:21" s="125" customFormat="1" ht="10.5">
      <c r="A8" s="123">
        <v>1</v>
      </c>
      <c r="B8" s="124">
        <f aca="true" t="shared" si="0" ref="B8:U8">A8+1</f>
        <v>2</v>
      </c>
      <c r="C8" s="124">
        <f t="shared" si="0"/>
        <v>3</v>
      </c>
      <c r="D8" s="124">
        <f t="shared" si="0"/>
        <v>4</v>
      </c>
      <c r="E8" s="124">
        <f t="shared" si="0"/>
        <v>5</v>
      </c>
      <c r="F8" s="124">
        <f t="shared" si="0"/>
        <v>6</v>
      </c>
      <c r="G8" s="123">
        <f t="shared" si="0"/>
        <v>7</v>
      </c>
      <c r="H8" s="123">
        <f t="shared" si="0"/>
        <v>8</v>
      </c>
      <c r="I8" s="123">
        <f t="shared" si="0"/>
        <v>9</v>
      </c>
      <c r="J8" s="124">
        <f t="shared" si="0"/>
        <v>10</v>
      </c>
      <c r="K8" s="124">
        <f t="shared" si="0"/>
        <v>11</v>
      </c>
      <c r="L8" s="124">
        <f t="shared" si="0"/>
        <v>12</v>
      </c>
      <c r="M8" s="123">
        <f t="shared" si="0"/>
        <v>13</v>
      </c>
      <c r="N8" s="123">
        <f t="shared" si="0"/>
        <v>14</v>
      </c>
      <c r="O8" s="123">
        <f t="shared" si="0"/>
        <v>15</v>
      </c>
      <c r="P8" s="123">
        <f t="shared" si="0"/>
        <v>16</v>
      </c>
      <c r="Q8" s="123">
        <f t="shared" si="0"/>
        <v>17</v>
      </c>
      <c r="R8" s="123">
        <f t="shared" si="0"/>
        <v>18</v>
      </c>
      <c r="S8" s="123">
        <f t="shared" si="0"/>
        <v>19</v>
      </c>
      <c r="T8" s="123">
        <f t="shared" si="0"/>
        <v>20</v>
      </c>
      <c r="U8" s="123">
        <f t="shared" si="0"/>
        <v>21</v>
      </c>
    </row>
    <row r="9" spans="1:21" s="90" customFormat="1" ht="12.75">
      <c r="A9" s="85">
        <v>1</v>
      </c>
      <c r="B9" s="85">
        <f>'норм водоотв  ПО (5-3)'!B10</f>
        <v>0</v>
      </c>
      <c r="C9" s="85">
        <f>'норм водоотв  ПО (5-3)'!C10</f>
        <v>0</v>
      </c>
      <c r="D9" s="87"/>
      <c r="E9" s="87"/>
      <c r="F9" s="162" t="e">
        <f aca="true" t="shared" si="1" ref="F9:F16">ROUND(E9/D9*100,1)</f>
        <v>#DIV/0!</v>
      </c>
      <c r="G9" s="89">
        <f>'норм водоотв  ПО (5-3)'!I10</f>
        <v>0</v>
      </c>
      <c r="H9" s="66">
        <f>ROUND(D9*G9,3)</f>
        <v>0</v>
      </c>
      <c r="I9" s="66">
        <f>ROUND(E9*G9,3)</f>
        <v>0</v>
      </c>
      <c r="J9" s="87"/>
      <c r="K9" s="87"/>
      <c r="L9" s="161" t="e">
        <f aca="true" t="shared" si="2" ref="L9:L16">ROUND(K9/J9*100,1)</f>
        <v>#DIV/0!</v>
      </c>
      <c r="M9" s="89">
        <f>'норм водоотв  ПО (5-3)'!N10</f>
        <v>0</v>
      </c>
      <c r="N9" s="66">
        <f>ROUND(J9*M9,3)</f>
        <v>0</v>
      </c>
      <c r="O9" s="66">
        <f>ROUND(K9*M9,3)</f>
        <v>0</v>
      </c>
      <c r="P9" s="87"/>
      <c r="Q9" s="87"/>
      <c r="R9" s="160" t="e">
        <f>ROUND(Q9/P9*100,1)</f>
        <v>#DIV/0!</v>
      </c>
      <c r="S9" s="89">
        <f>'норм водоотв  ПО (5-3)'!S10</f>
        <v>0</v>
      </c>
      <c r="T9" s="149">
        <f>ROUND(P9*S9,3)</f>
        <v>0</v>
      </c>
      <c r="U9" s="66">
        <f>ROUND(Q9*S9,3)</f>
        <v>0</v>
      </c>
    </row>
    <row r="10" spans="1:21" s="90" customFormat="1" ht="12.75">
      <c r="A10" s="85"/>
      <c r="B10" s="85">
        <f>'норм водоотв  ПО (5-3)'!B11</f>
        <v>0</v>
      </c>
      <c r="C10" s="85">
        <f>'норм водоотв  ПО (5-3)'!C11</f>
        <v>0</v>
      </c>
      <c r="D10" s="87"/>
      <c r="E10" s="87"/>
      <c r="F10" s="162" t="e">
        <f t="shared" si="1"/>
        <v>#DIV/0!</v>
      </c>
      <c r="G10" s="89">
        <f>'норм водоотв  ПО (5-3)'!I11</f>
        <v>0</v>
      </c>
      <c r="H10" s="66">
        <f>ROUND(D10*G10,3)</f>
        <v>0</v>
      </c>
      <c r="I10" s="66">
        <f>ROUND(E10*G10,3)</f>
        <v>0</v>
      </c>
      <c r="J10" s="87"/>
      <c r="K10" s="87"/>
      <c r="L10" s="161" t="e">
        <f t="shared" si="2"/>
        <v>#DIV/0!</v>
      </c>
      <c r="M10" s="89">
        <f>'норм водоотв  ПО (5-3)'!N11</f>
        <v>0</v>
      </c>
      <c r="N10" s="66">
        <f>ROUND(J10*M10,3)</f>
        <v>0</v>
      </c>
      <c r="O10" s="66">
        <f>ROUND(K10*M10,3)</f>
        <v>0</v>
      </c>
      <c r="P10" s="87"/>
      <c r="Q10" s="87"/>
      <c r="R10" s="160" t="e">
        <f aca="true" t="shared" si="3" ref="R10:R16">ROUND(Q10/P10*100,1)</f>
        <v>#DIV/0!</v>
      </c>
      <c r="S10" s="89">
        <f>'норм водоотв  ПО (5-3)'!S11</f>
        <v>0</v>
      </c>
      <c r="T10" s="149">
        <f>ROUND(P10*S10,3)</f>
        <v>0</v>
      </c>
      <c r="U10" s="66">
        <f>ROUND(Q10*S10,3)</f>
        <v>0</v>
      </c>
    </row>
    <row r="11" spans="1:21" s="92" customFormat="1" ht="12.75">
      <c r="A11" s="62"/>
      <c r="B11" s="85">
        <f>'норм водоотв  ПО (5-3)'!B12</f>
        <v>0</v>
      </c>
      <c r="C11" s="85">
        <f>'норм водоотв  ПО (5-3)'!C12</f>
        <v>0</v>
      </c>
      <c r="D11" s="126"/>
      <c r="E11" s="87"/>
      <c r="F11" s="162" t="e">
        <f t="shared" si="1"/>
        <v>#DIV/0!</v>
      </c>
      <c r="G11" s="89">
        <f>'норм водоотв  ПО (5-3)'!I12</f>
        <v>0</v>
      </c>
      <c r="H11" s="66">
        <f>ROUND(D11*G11,3)</f>
        <v>0</v>
      </c>
      <c r="I11" s="66">
        <f>ROUND(E11*G11,3)</f>
        <v>0</v>
      </c>
      <c r="J11" s="126"/>
      <c r="K11" s="87"/>
      <c r="L11" s="161" t="e">
        <f t="shared" si="2"/>
        <v>#DIV/0!</v>
      </c>
      <c r="M11" s="89">
        <f>'норм водоотв  ПО (5-3)'!N12</f>
        <v>0</v>
      </c>
      <c r="N11" s="66">
        <f>ROUND(J11*M11,3)</f>
        <v>0</v>
      </c>
      <c r="O11" s="66">
        <f>ROUND(K11*M11,3)</f>
        <v>0</v>
      </c>
      <c r="P11" s="126"/>
      <c r="Q11" s="87"/>
      <c r="R11" s="160" t="e">
        <f t="shared" si="3"/>
        <v>#DIV/0!</v>
      </c>
      <c r="S11" s="89">
        <f>'норм водоотв  ПО (5-3)'!S12</f>
        <v>0</v>
      </c>
      <c r="T11" s="149">
        <f>ROUND(P11*S11,3)</f>
        <v>0</v>
      </c>
      <c r="U11" s="66">
        <f>ROUND(Q11*S11,3)</f>
        <v>0</v>
      </c>
    </row>
    <row r="12" spans="1:21" s="92" customFormat="1" ht="12.75">
      <c r="A12" s="62"/>
      <c r="B12" s="85">
        <f>'норм водоотв  ПО (5-3)'!B13</f>
        <v>0</v>
      </c>
      <c r="C12" s="85">
        <f>'норм водоотв  ПО (5-3)'!C13</f>
        <v>0</v>
      </c>
      <c r="D12" s="127"/>
      <c r="E12" s="87"/>
      <c r="F12" s="162" t="e">
        <f t="shared" si="1"/>
        <v>#DIV/0!</v>
      </c>
      <c r="G12" s="89">
        <f>'норм водоотв  ПО (5-3)'!I13</f>
        <v>0</v>
      </c>
      <c r="H12" s="66">
        <f>ROUND(D12*G12,3)</f>
        <v>0</v>
      </c>
      <c r="I12" s="66">
        <f>ROUND(E12*G12,3)</f>
        <v>0</v>
      </c>
      <c r="J12" s="127"/>
      <c r="K12" s="87"/>
      <c r="L12" s="161" t="e">
        <f t="shared" si="2"/>
        <v>#DIV/0!</v>
      </c>
      <c r="M12" s="89">
        <f>'норм водоотв  ПО (5-3)'!N13</f>
        <v>0</v>
      </c>
      <c r="N12" s="66">
        <f>ROUND(J12*M12,3)</f>
        <v>0</v>
      </c>
      <c r="O12" s="66">
        <f>ROUND(K12*M12,3)</f>
        <v>0</v>
      </c>
      <c r="P12" s="127"/>
      <c r="Q12" s="87"/>
      <c r="R12" s="160" t="e">
        <f t="shared" si="3"/>
        <v>#DIV/0!</v>
      </c>
      <c r="S12" s="89">
        <f>'норм водоотв  ПО (5-3)'!S13</f>
        <v>0</v>
      </c>
      <c r="T12" s="149">
        <f>ROUND(P12*S12,3)</f>
        <v>0</v>
      </c>
      <c r="U12" s="66">
        <f>ROUND(Q12*S12,3)</f>
        <v>0</v>
      </c>
    </row>
    <row r="13" spans="1:21" s="92" customFormat="1" ht="12.75">
      <c r="A13" s="128"/>
      <c r="B13" s="85">
        <f>'норм водоотв  ПО (5-3)'!B14</f>
        <v>0</v>
      </c>
      <c r="C13" s="85">
        <f>'норм водоотв  ПО (5-3)'!C14</f>
        <v>0</v>
      </c>
      <c r="D13" s="126"/>
      <c r="E13" s="87"/>
      <c r="F13" s="162" t="e">
        <f t="shared" si="1"/>
        <v>#DIV/0!</v>
      </c>
      <c r="G13" s="89">
        <f>'норм водоотв  ПО (5-3)'!I14</f>
        <v>0</v>
      </c>
      <c r="H13" s="66">
        <f>ROUND(D13*G13,3)</f>
        <v>0</v>
      </c>
      <c r="I13" s="66">
        <f>ROUND(E13*G13,3)</f>
        <v>0</v>
      </c>
      <c r="J13" s="126"/>
      <c r="K13" s="87"/>
      <c r="L13" s="161" t="e">
        <f t="shared" si="2"/>
        <v>#DIV/0!</v>
      </c>
      <c r="M13" s="89">
        <f>'норм водоотв  ПО (5-3)'!N14</f>
        <v>0</v>
      </c>
      <c r="N13" s="66">
        <f>ROUND(J13*M13,3)</f>
        <v>0</v>
      </c>
      <c r="O13" s="66">
        <f>ROUND(K13*M13,3)</f>
        <v>0</v>
      </c>
      <c r="P13" s="126"/>
      <c r="Q13" s="87"/>
      <c r="R13" s="160" t="e">
        <f t="shared" si="3"/>
        <v>#DIV/0!</v>
      </c>
      <c r="S13" s="89">
        <f>'норм водоотв  ПО (5-3)'!S14</f>
        <v>0</v>
      </c>
      <c r="T13" s="149">
        <f>ROUND(P13*S13,3)</f>
        <v>0</v>
      </c>
      <c r="U13" s="66">
        <f>ROUND(Q13*S13,3)</f>
        <v>0</v>
      </c>
    </row>
    <row r="14" spans="1:21" s="92" customFormat="1" ht="12.75">
      <c r="A14" s="62"/>
      <c r="B14" s="85">
        <f>'норм водоотв  ПО (5-3)'!B15</f>
        <v>0</v>
      </c>
      <c r="C14" s="85">
        <f>'норм водоотв  ПО (5-3)'!C15</f>
        <v>0</v>
      </c>
      <c r="D14" s="64"/>
      <c r="E14" s="87"/>
      <c r="F14" s="162" t="e">
        <f t="shared" si="1"/>
        <v>#DIV/0!</v>
      </c>
      <c r="G14" s="89"/>
      <c r="H14" s="66"/>
      <c r="I14" s="66"/>
      <c r="J14" s="64"/>
      <c r="K14" s="87"/>
      <c r="L14" s="161" t="e">
        <f t="shared" si="2"/>
        <v>#DIV/0!</v>
      </c>
      <c r="M14" s="89"/>
      <c r="N14" s="66"/>
      <c r="O14" s="66"/>
      <c r="P14" s="64"/>
      <c r="Q14" s="87"/>
      <c r="R14" s="160" t="e">
        <f t="shared" si="3"/>
        <v>#DIV/0!</v>
      </c>
      <c r="S14" s="89"/>
      <c r="T14" s="149"/>
      <c r="U14" s="149"/>
    </row>
    <row r="15" spans="1:21" s="92" customFormat="1" ht="12.75">
      <c r="A15" s="62"/>
      <c r="B15" s="85"/>
      <c r="C15" s="85"/>
      <c r="D15" s="126"/>
      <c r="E15" s="87"/>
      <c r="F15" s="162" t="e">
        <f t="shared" si="1"/>
        <v>#DIV/0!</v>
      </c>
      <c r="G15" s="89"/>
      <c r="H15" s="66"/>
      <c r="I15" s="66"/>
      <c r="J15" s="126"/>
      <c r="K15" s="87"/>
      <c r="L15" s="161" t="e">
        <f t="shared" si="2"/>
        <v>#DIV/0!</v>
      </c>
      <c r="M15" s="89"/>
      <c r="N15" s="66"/>
      <c r="O15" s="66"/>
      <c r="P15" s="126"/>
      <c r="Q15" s="87"/>
      <c r="R15" s="160" t="e">
        <f t="shared" si="3"/>
        <v>#DIV/0!</v>
      </c>
      <c r="S15" s="89"/>
      <c r="T15" s="149"/>
      <c r="U15" s="149"/>
    </row>
    <row r="16" spans="1:21" s="72" customFormat="1" ht="30" customHeight="1">
      <c r="A16" s="93"/>
      <c r="B16" s="548" t="s">
        <v>28</v>
      </c>
      <c r="C16" s="549"/>
      <c r="D16" s="156" t="e">
        <f>ROUND(H16/G16,6)</f>
        <v>#DIV/0!</v>
      </c>
      <c r="E16" s="156" t="e">
        <f>ROUND(I16/G16,6)</f>
        <v>#DIV/0!</v>
      </c>
      <c r="F16" s="65" t="e">
        <f t="shared" si="1"/>
        <v>#DIV/0!</v>
      </c>
      <c r="G16" s="130">
        <f>SUM(G9:G15)</f>
        <v>0</v>
      </c>
      <c r="H16" s="130">
        <f>SUM(H9:H15)</f>
        <v>0</v>
      </c>
      <c r="I16" s="130">
        <f>SUM(I9:I15)</f>
        <v>0</v>
      </c>
      <c r="J16" s="129" t="e">
        <f>ROUND(N16/M16,6)</f>
        <v>#DIV/0!</v>
      </c>
      <c r="K16" s="129" t="e">
        <f>ROUND(O16/M16,6)</f>
        <v>#DIV/0!</v>
      </c>
      <c r="L16" s="65" t="e">
        <f t="shared" si="2"/>
        <v>#DIV/0!</v>
      </c>
      <c r="M16" s="130">
        <f>SUM(M9:M15)</f>
        <v>0</v>
      </c>
      <c r="N16" s="130">
        <f>SUM(N9:N15)</f>
        <v>0</v>
      </c>
      <c r="O16" s="130">
        <f>SUM(O9:O15)</f>
        <v>0</v>
      </c>
      <c r="P16" s="150" t="e">
        <f>ROUND(T16/S16,6)</f>
        <v>#DIV/0!</v>
      </c>
      <c r="Q16" s="150" t="e">
        <f>ROUND(U16/S16,6)</f>
        <v>#DIV/0!</v>
      </c>
      <c r="R16" s="65" t="e">
        <f t="shared" si="3"/>
        <v>#DIV/0!</v>
      </c>
      <c r="S16" s="130">
        <f>SUM(S9:S15)</f>
        <v>0</v>
      </c>
      <c r="T16" s="110">
        <f>SUM(T9:T15)</f>
        <v>0</v>
      </c>
      <c r="U16" s="110">
        <f>SUM(U9:U15)</f>
        <v>0</v>
      </c>
    </row>
    <row r="17" spans="1:19" s="81" customFormat="1" ht="25.5">
      <c r="A17" s="117"/>
      <c r="B17" s="118"/>
      <c r="C17" s="132" t="s">
        <v>67</v>
      </c>
      <c r="D17" s="69" t="s">
        <v>68</v>
      </c>
      <c r="E17" s="69" t="s">
        <v>69</v>
      </c>
      <c r="F17" s="133"/>
      <c r="J17" s="69" t="s">
        <v>88</v>
      </c>
      <c r="K17" s="69" t="s">
        <v>89</v>
      </c>
      <c r="P17" s="69" t="s">
        <v>91</v>
      </c>
      <c r="Q17" s="69" t="s">
        <v>93</v>
      </c>
      <c r="R17" s="134"/>
      <c r="S17" s="134"/>
    </row>
    <row r="18" spans="1:19" s="81" customFormat="1" ht="15.75">
      <c r="A18" s="117"/>
      <c r="B18" s="118"/>
      <c r="C18" s="132"/>
      <c r="D18" s="134"/>
      <c r="E18" s="134"/>
      <c r="F18" s="133"/>
      <c r="J18" s="134"/>
      <c r="K18" s="134"/>
      <c r="P18" s="134"/>
      <c r="Q18" s="134"/>
      <c r="R18" s="134"/>
      <c r="S18" s="134"/>
    </row>
    <row r="19" spans="1:19" s="81" customFormat="1" ht="15.75">
      <c r="A19" s="117"/>
      <c r="B19" s="118"/>
      <c r="C19" s="132"/>
      <c r="D19" s="134"/>
      <c r="E19" s="134"/>
      <c r="F19" s="133"/>
      <c r="J19" s="134"/>
      <c r="K19" s="134"/>
      <c r="P19" s="134"/>
      <c r="Q19" s="134"/>
      <c r="R19" s="134"/>
      <c r="S19" s="134"/>
    </row>
    <row r="20" spans="1:19" s="81" customFormat="1" ht="15.75">
      <c r="A20" s="117"/>
      <c r="B20" s="118"/>
      <c r="C20" s="132"/>
      <c r="D20" s="134"/>
      <c r="E20" s="134"/>
      <c r="F20" s="133"/>
      <c r="J20" s="134"/>
      <c r="K20" s="134"/>
      <c r="R20" s="134"/>
      <c r="S20" s="134"/>
    </row>
    <row r="21" spans="2:4" s="61" customFormat="1" ht="12.75">
      <c r="B21" s="61" t="s">
        <v>297</v>
      </c>
      <c r="C21" s="63"/>
      <c r="D21" s="63"/>
    </row>
    <row r="22" s="61" customFormat="1" ht="12.75">
      <c r="F22" s="61" t="s">
        <v>42</v>
      </c>
    </row>
    <row r="23" spans="2:4" s="61" customFormat="1" ht="12.75">
      <c r="B23" s="61" t="s">
        <v>61</v>
      </c>
      <c r="C23" s="63"/>
      <c r="D23" s="63"/>
    </row>
    <row r="24" spans="2:4" s="61" customFormat="1" ht="12.75">
      <c r="B24" s="61" t="s">
        <v>62</v>
      </c>
      <c r="C24" s="63"/>
      <c r="D24" s="63"/>
    </row>
  </sheetData>
  <sheetProtection/>
  <mergeCells count="25">
    <mergeCell ref="T6:U6"/>
    <mergeCell ref="M6:M7"/>
    <mergeCell ref="N6:O6"/>
    <mergeCell ref="B16:C16"/>
    <mergeCell ref="S1:T1"/>
    <mergeCell ref="P5:U5"/>
    <mergeCell ref="P6:P7"/>
    <mergeCell ref="Q6:Q7"/>
    <mergeCell ref="R6:R7"/>
    <mergeCell ref="S6:S7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K1:L1"/>
    <mergeCell ref="B2:O2"/>
    <mergeCell ref="J6:J7"/>
    <mergeCell ref="K6:K7"/>
    <mergeCell ref="L6:L7"/>
    <mergeCell ref="H6:I6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3">
      <selection activeCell="B73" sqref="A1:IV16384"/>
    </sheetView>
  </sheetViews>
  <sheetFormatPr defaultColWidth="9.00390625" defaultRowHeight="12.75"/>
  <cols>
    <col min="1" max="1" width="2.625" style="267" bestFit="1" customWidth="1"/>
    <col min="2" max="2" width="38.875" style="0" customWidth="1"/>
    <col min="3" max="3" width="12.625" style="0" bestFit="1" customWidth="1"/>
    <col min="5" max="5" width="11.75390625" style="0" customWidth="1"/>
    <col min="6" max="6" width="13.625" style="0" customWidth="1"/>
    <col min="7" max="8" width="12.00390625" style="0" customWidth="1"/>
    <col min="9" max="9" width="11.375" style="0" customWidth="1"/>
    <col min="10" max="10" width="8.00390625" style="0" customWidth="1"/>
    <col min="11" max="11" width="10.625" style="0" bestFit="1" customWidth="1"/>
    <col min="12" max="13" width="9.625" style="0" bestFit="1" customWidth="1"/>
    <col min="14" max="14" width="8.875" style="0" bestFit="1" customWidth="1"/>
    <col min="15" max="15" width="8.125" style="0" bestFit="1" customWidth="1"/>
  </cols>
  <sheetData>
    <row r="1" spans="1:8" ht="15">
      <c r="A1" s="586" t="s">
        <v>179</v>
      </c>
      <c r="B1" s="586"/>
      <c r="C1" s="586"/>
      <c r="D1" s="586"/>
      <c r="E1" s="586"/>
      <c r="F1" s="586"/>
      <c r="G1" s="586"/>
      <c r="H1" s="586"/>
    </row>
    <row r="2" ht="12.75">
      <c r="E2" s="267" t="s">
        <v>180</v>
      </c>
    </row>
    <row r="3" spans="1:5" s="271" customFormat="1" ht="26.25" thickBot="1">
      <c r="A3" s="268" t="s">
        <v>181</v>
      </c>
      <c r="B3" s="269" t="s">
        <v>182</v>
      </c>
      <c r="C3" s="270">
        <v>295</v>
      </c>
      <c r="D3" s="271" t="s">
        <v>6</v>
      </c>
      <c r="E3" s="271">
        <v>1</v>
      </c>
    </row>
    <row r="4" spans="2:14" ht="16.5" thickBot="1">
      <c r="B4" t="s">
        <v>183</v>
      </c>
      <c r="C4" s="272">
        <v>41</v>
      </c>
      <c r="D4" t="s">
        <v>6</v>
      </c>
      <c r="E4">
        <f>ROUND(C4/C3,3)</f>
        <v>0.139</v>
      </c>
      <c r="I4" s="273"/>
      <c r="J4" s="274" t="s">
        <v>184</v>
      </c>
      <c r="K4" s="81"/>
      <c r="L4" s="81"/>
      <c r="M4" s="81"/>
      <c r="N4" s="81"/>
    </row>
    <row r="5" spans="2:14" ht="15.75" thickBot="1">
      <c r="B5" s="275" t="s">
        <v>185</v>
      </c>
      <c r="C5" s="272">
        <v>123</v>
      </c>
      <c r="D5" t="s">
        <v>6</v>
      </c>
      <c r="E5">
        <f>ROUND(C5/C3,3)</f>
        <v>0.417</v>
      </c>
      <c r="I5" s="81"/>
      <c r="J5" s="276"/>
      <c r="K5" s="81"/>
      <c r="L5" s="81"/>
      <c r="M5" s="81"/>
      <c r="N5" s="81"/>
    </row>
    <row r="6" spans="2:14" ht="16.5" thickBot="1">
      <c r="B6" s="275" t="s">
        <v>186</v>
      </c>
      <c r="C6" s="272">
        <v>115</v>
      </c>
      <c r="D6" t="s">
        <v>6</v>
      </c>
      <c r="E6">
        <f>ROUND(C6/C3,3)</f>
        <v>0.39</v>
      </c>
      <c r="I6" s="277"/>
      <c r="J6" s="274" t="s">
        <v>187</v>
      </c>
      <c r="K6" s="81"/>
      <c r="L6" s="81"/>
      <c r="M6" s="81"/>
      <c r="N6" s="81"/>
    </row>
    <row r="7" spans="2:5" ht="12.75">
      <c r="B7" s="275" t="s">
        <v>188</v>
      </c>
      <c r="C7" s="272">
        <v>16</v>
      </c>
      <c r="D7" t="s">
        <v>6</v>
      </c>
      <c r="E7">
        <f>E3-E4-E5-E6</f>
        <v>0.05399999999999999</v>
      </c>
    </row>
    <row r="9" spans="1:8" s="271" customFormat="1" ht="38.25">
      <c r="A9" s="268" t="s">
        <v>189</v>
      </c>
      <c r="B9" s="278" t="s">
        <v>190</v>
      </c>
      <c r="C9" s="270">
        <v>23000</v>
      </c>
      <c r="D9" s="271" t="s">
        <v>191</v>
      </c>
      <c r="F9" s="279" t="s">
        <v>192</v>
      </c>
      <c r="G9" s="280">
        <f>ROUND(C3/C9*1000,1)</f>
        <v>12.8</v>
      </c>
      <c r="H9" s="271" t="s">
        <v>193</v>
      </c>
    </row>
    <row r="10" spans="2:4" ht="12.75">
      <c r="B10" t="s">
        <v>194</v>
      </c>
      <c r="C10" s="281">
        <f>ROUND(C4/G9*1000,0)</f>
        <v>3203</v>
      </c>
      <c r="D10" t="s">
        <v>191</v>
      </c>
    </row>
    <row r="11" spans="2:4" ht="12.75">
      <c r="B11" s="275" t="s">
        <v>195</v>
      </c>
      <c r="C11" s="281">
        <f>ROUND(C5/G9*1000,0)</f>
        <v>9609</v>
      </c>
      <c r="D11" t="s">
        <v>191</v>
      </c>
    </row>
    <row r="12" spans="2:4" ht="12.75">
      <c r="B12" s="275" t="s">
        <v>196</v>
      </c>
      <c r="C12" s="281">
        <f>ROUND(C6/G9*1000,0)</f>
        <v>8984</v>
      </c>
      <c r="D12" t="s">
        <v>191</v>
      </c>
    </row>
    <row r="13" spans="2:4" ht="12.75">
      <c r="B13" s="275" t="s">
        <v>197</v>
      </c>
      <c r="C13" s="281">
        <f>C9-C10-C11-C12</f>
        <v>1204</v>
      </c>
      <c r="D13" t="s">
        <v>191</v>
      </c>
    </row>
    <row r="15" spans="1:2" s="72" customFormat="1" ht="12.75">
      <c r="A15" s="282" t="s">
        <v>198</v>
      </c>
      <c r="B15" s="283" t="s">
        <v>199</v>
      </c>
    </row>
    <row r="16" spans="2:5" ht="12.75">
      <c r="B16" t="s">
        <v>194</v>
      </c>
      <c r="C16" s="272">
        <v>2</v>
      </c>
      <c r="D16" t="s">
        <v>200</v>
      </c>
      <c r="E16" s="284" t="s">
        <v>201</v>
      </c>
    </row>
    <row r="17" spans="2:5" ht="12.75">
      <c r="B17" s="275" t="s">
        <v>195</v>
      </c>
      <c r="C17" s="272">
        <v>3</v>
      </c>
      <c r="D17" t="s">
        <v>200</v>
      </c>
      <c r="E17" s="284" t="s">
        <v>201</v>
      </c>
    </row>
    <row r="18" spans="2:5" ht="12.75">
      <c r="B18" s="275" t="s">
        <v>196</v>
      </c>
      <c r="C18" s="272">
        <v>4</v>
      </c>
      <c r="D18" t="s">
        <v>200</v>
      </c>
      <c r="E18" s="284" t="s">
        <v>201</v>
      </c>
    </row>
    <row r="19" spans="2:5" ht="12.75">
      <c r="B19" s="275" t="s">
        <v>197</v>
      </c>
      <c r="C19" s="272">
        <v>4</v>
      </c>
      <c r="D19" t="s">
        <v>200</v>
      </c>
      <c r="E19" s="284" t="s">
        <v>201</v>
      </c>
    </row>
    <row r="20" ht="12.75">
      <c r="B20" s="275"/>
    </row>
    <row r="21" spans="2:6" ht="12.75">
      <c r="B21" s="285"/>
      <c r="E21" s="267" t="s">
        <v>202</v>
      </c>
      <c r="F21" s="267" t="s">
        <v>180</v>
      </c>
    </row>
    <row r="22" spans="1:6" s="72" customFormat="1" ht="12.75">
      <c r="A22" s="282" t="s">
        <v>203</v>
      </c>
      <c r="B22" s="72" t="s">
        <v>204</v>
      </c>
      <c r="C22" s="286">
        <f>C3</f>
        <v>295</v>
      </c>
      <c r="D22" s="72" t="s">
        <v>6</v>
      </c>
      <c r="E22" s="286">
        <f>C9</f>
        <v>23000</v>
      </c>
      <c r="F22" s="286">
        <v>1</v>
      </c>
    </row>
    <row r="23" spans="2:6" ht="12.75">
      <c r="B23" t="s">
        <v>205</v>
      </c>
      <c r="C23" s="272">
        <v>145</v>
      </c>
      <c r="D23" t="s">
        <v>6</v>
      </c>
      <c r="E23" s="281">
        <f>ROUND(C23/G9*1000,0)</f>
        <v>11328</v>
      </c>
      <c r="F23" s="281">
        <f>ROUND(E23/E22,3)</f>
        <v>0.493</v>
      </c>
    </row>
    <row r="24" spans="2:6" ht="12.75">
      <c r="B24" t="s">
        <v>206</v>
      </c>
      <c r="C24" s="272">
        <v>98</v>
      </c>
      <c r="D24" t="s">
        <v>6</v>
      </c>
      <c r="E24" s="281">
        <f>ROUND(C24/G9*1000,0)</f>
        <v>7656</v>
      </c>
      <c r="F24" s="281">
        <f>ROUND(E24/E22,3)</f>
        <v>0.333</v>
      </c>
    </row>
    <row r="25" spans="2:6" ht="12.75">
      <c r="B25" t="s">
        <v>207</v>
      </c>
      <c r="C25" s="281">
        <f>C22-C23-C24</f>
        <v>52</v>
      </c>
      <c r="D25" t="s">
        <v>6</v>
      </c>
      <c r="E25" s="281">
        <f>E22-E23-E24</f>
        <v>4016</v>
      </c>
      <c r="F25" s="281">
        <f>F22-F23-F24</f>
        <v>0.174</v>
      </c>
    </row>
    <row r="27" spans="1:4" s="271" customFormat="1" ht="25.5">
      <c r="A27" s="268" t="s">
        <v>208</v>
      </c>
      <c r="B27" s="278" t="s">
        <v>209</v>
      </c>
      <c r="C27" s="280">
        <f>C9</f>
        <v>23000</v>
      </c>
      <c r="D27" s="271" t="s">
        <v>191</v>
      </c>
    </row>
    <row r="28" spans="2:4" ht="12.75">
      <c r="B28" t="s">
        <v>194</v>
      </c>
      <c r="C28" s="281">
        <f>C10</f>
        <v>3203</v>
      </c>
      <c r="D28" t="s">
        <v>191</v>
      </c>
    </row>
    <row r="29" spans="2:5" ht="12.75">
      <c r="B29" s="287" t="s">
        <v>210</v>
      </c>
      <c r="C29" s="288">
        <f>ROUND(C28*$F$23,0)</f>
        <v>1579</v>
      </c>
      <c r="D29" s="289" t="s">
        <v>191</v>
      </c>
      <c r="E29" s="267" t="s">
        <v>211</v>
      </c>
    </row>
    <row r="30" spans="2:5" ht="12.75">
      <c r="B30" s="287" t="s">
        <v>212</v>
      </c>
      <c r="C30" s="288">
        <f>ROUND(C28*$F$24,0)</f>
        <v>1067</v>
      </c>
      <c r="D30" s="289" t="s">
        <v>191</v>
      </c>
      <c r="E30" s="587">
        <f>C30+C31</f>
        <v>1624</v>
      </c>
    </row>
    <row r="31" spans="2:5" ht="12.75">
      <c r="B31" s="287" t="s">
        <v>213</v>
      </c>
      <c r="C31" s="288">
        <f>C28-C29-C30</f>
        <v>557</v>
      </c>
      <c r="D31" s="289" t="s">
        <v>191</v>
      </c>
      <c r="E31" s="587"/>
    </row>
    <row r="32" spans="2:4" ht="12.75">
      <c r="B32" s="275" t="s">
        <v>195</v>
      </c>
      <c r="C32" s="281">
        <f>C11</f>
        <v>9609</v>
      </c>
      <c r="D32" t="s">
        <v>191</v>
      </c>
    </row>
    <row r="33" spans="2:5" ht="12.75">
      <c r="B33" s="287" t="s">
        <v>210</v>
      </c>
      <c r="C33" s="288">
        <f>ROUND(C32*$F$23,0)</f>
        <v>4737</v>
      </c>
      <c r="D33" s="289" t="s">
        <v>191</v>
      </c>
      <c r="E33" s="267" t="s">
        <v>211</v>
      </c>
    </row>
    <row r="34" spans="2:5" ht="12.75">
      <c r="B34" s="287" t="s">
        <v>212</v>
      </c>
      <c r="C34" s="288">
        <f>ROUND(C32*$F$24,0)</f>
        <v>3200</v>
      </c>
      <c r="D34" s="289" t="s">
        <v>191</v>
      </c>
      <c r="E34" s="587">
        <f>C34+C35</f>
        <v>4872</v>
      </c>
    </row>
    <row r="35" spans="2:5" ht="12.75">
      <c r="B35" s="287" t="s">
        <v>213</v>
      </c>
      <c r="C35" s="288">
        <f>C32-C33-C34</f>
        <v>1672</v>
      </c>
      <c r="D35" s="289" t="s">
        <v>191</v>
      </c>
      <c r="E35" s="587"/>
    </row>
    <row r="36" spans="2:4" ht="12.75">
      <c r="B36" s="275" t="s">
        <v>196</v>
      </c>
      <c r="C36" s="281">
        <f>C12</f>
        <v>8984</v>
      </c>
      <c r="D36" t="s">
        <v>191</v>
      </c>
    </row>
    <row r="37" spans="2:5" ht="12.75">
      <c r="B37" s="287" t="s">
        <v>210</v>
      </c>
      <c r="C37" s="288">
        <f>ROUND(C36*$F$23,0)</f>
        <v>4429</v>
      </c>
      <c r="D37" s="290" t="s">
        <v>191</v>
      </c>
      <c r="E37" s="267" t="s">
        <v>211</v>
      </c>
    </row>
    <row r="38" spans="2:5" ht="12.75">
      <c r="B38" s="287" t="s">
        <v>212</v>
      </c>
      <c r="C38" s="288">
        <f>ROUND(C36*$F$24,0)</f>
        <v>2992</v>
      </c>
      <c r="D38" s="290" t="s">
        <v>191</v>
      </c>
      <c r="E38" s="587">
        <f>C38+C39</f>
        <v>4555</v>
      </c>
    </row>
    <row r="39" spans="2:5" ht="12.75">
      <c r="B39" s="287" t="s">
        <v>213</v>
      </c>
      <c r="C39" s="288">
        <f>C36-C37-C38</f>
        <v>1563</v>
      </c>
      <c r="D39" s="290" t="s">
        <v>191</v>
      </c>
      <c r="E39" s="587"/>
    </row>
    <row r="40" spans="2:4" ht="12.75">
      <c r="B40" s="275" t="s">
        <v>197</v>
      </c>
      <c r="C40" s="281">
        <f>C27-C28-C32-C36</f>
        <v>1204</v>
      </c>
      <c r="D40" t="s">
        <v>191</v>
      </c>
    </row>
    <row r="41" spans="2:5" ht="12.75">
      <c r="B41" s="287" t="s">
        <v>210</v>
      </c>
      <c r="C41" s="288">
        <f>ROUND(C40*$F$23,0)</f>
        <v>594</v>
      </c>
      <c r="D41" s="290" t="s">
        <v>191</v>
      </c>
      <c r="E41" s="267" t="s">
        <v>211</v>
      </c>
    </row>
    <row r="42" spans="2:5" ht="12.75">
      <c r="B42" s="287" t="s">
        <v>212</v>
      </c>
      <c r="C42" s="288">
        <f>ROUND(C40*$F$24,0)</f>
        <v>401</v>
      </c>
      <c r="D42" s="290" t="s">
        <v>191</v>
      </c>
      <c r="E42" s="587">
        <f>C42+C43</f>
        <v>610</v>
      </c>
    </row>
    <row r="43" spans="2:5" ht="12.75">
      <c r="B43" s="287" t="s">
        <v>213</v>
      </c>
      <c r="C43" s="288">
        <f>C40-C41-C42</f>
        <v>209</v>
      </c>
      <c r="D43" s="290" t="s">
        <v>191</v>
      </c>
      <c r="E43" s="587"/>
    </row>
    <row r="45" spans="1:6" s="271" customFormat="1" ht="25.5">
      <c r="A45" s="268" t="s">
        <v>214</v>
      </c>
      <c r="B45" s="269" t="s">
        <v>215</v>
      </c>
      <c r="C45" s="270">
        <v>1560</v>
      </c>
      <c r="D45" s="271" t="s">
        <v>191</v>
      </c>
      <c r="E45" s="291" t="s">
        <v>180</v>
      </c>
      <c r="F45" s="292" t="s">
        <v>201</v>
      </c>
    </row>
    <row r="46" spans="2:6" ht="12.75">
      <c r="B46" t="s">
        <v>194</v>
      </c>
      <c r="C46" s="272">
        <v>710</v>
      </c>
      <c r="D46" t="s">
        <v>191</v>
      </c>
      <c r="E46" s="281">
        <f>ROUND(C46/C28,3)</f>
        <v>0.222</v>
      </c>
      <c r="F46" s="292" t="s">
        <v>201</v>
      </c>
    </row>
    <row r="47" spans="2:6" ht="12.75">
      <c r="B47" s="275" t="s">
        <v>195</v>
      </c>
      <c r="C47" s="272">
        <v>523</v>
      </c>
      <c r="D47" t="s">
        <v>200</v>
      </c>
      <c r="E47" s="281">
        <f>ROUND(C47/C32,3)</f>
        <v>0.054</v>
      </c>
      <c r="F47" s="292" t="s">
        <v>201</v>
      </c>
    </row>
    <row r="48" spans="2:6" ht="12.75">
      <c r="B48" s="275" t="s">
        <v>196</v>
      </c>
      <c r="C48" s="272">
        <v>305</v>
      </c>
      <c r="D48" t="s">
        <v>191</v>
      </c>
      <c r="E48" s="281">
        <f>ROUND(C48/C36,3)</f>
        <v>0.034</v>
      </c>
      <c r="F48" s="292" t="s">
        <v>201</v>
      </c>
    </row>
    <row r="49" spans="2:6" ht="12.75">
      <c r="B49" s="275" t="s">
        <v>197</v>
      </c>
      <c r="C49" s="272">
        <v>22</v>
      </c>
      <c r="D49" t="s">
        <v>200</v>
      </c>
      <c r="E49" s="281">
        <f>ROUND(C49/C40,3)</f>
        <v>0.018</v>
      </c>
      <c r="F49" s="292" t="s">
        <v>201</v>
      </c>
    </row>
    <row r="51" spans="1:7" ht="12.75">
      <c r="A51" s="293" t="s">
        <v>216</v>
      </c>
      <c r="B51" s="294" t="s">
        <v>217</v>
      </c>
      <c r="C51" s="295"/>
      <c r="D51" s="295"/>
      <c r="E51" s="295"/>
      <c r="F51" s="295"/>
      <c r="G51" s="295"/>
    </row>
    <row r="52" spans="1:7" ht="12.75">
      <c r="A52" s="293"/>
      <c r="B52" s="294"/>
      <c r="C52" s="293" t="s">
        <v>218</v>
      </c>
      <c r="D52" s="293" t="s">
        <v>219</v>
      </c>
      <c r="E52" s="293" t="s">
        <v>220</v>
      </c>
      <c r="F52" s="295"/>
      <c r="G52" s="295"/>
    </row>
    <row r="53" spans="1:7" ht="12.75">
      <c r="A53" s="293"/>
      <c r="B53" s="296" t="s">
        <v>221</v>
      </c>
      <c r="C53" s="295">
        <v>113</v>
      </c>
      <c r="D53" s="295">
        <v>82</v>
      </c>
      <c r="E53" s="295">
        <f>D53</f>
        <v>82</v>
      </c>
      <c r="F53" s="295" t="s">
        <v>222</v>
      </c>
      <c r="G53" s="295"/>
    </row>
    <row r="54" spans="1:7" ht="12.75">
      <c r="A54" s="293"/>
      <c r="B54" s="296" t="s">
        <v>223</v>
      </c>
      <c r="C54" s="295">
        <v>103</v>
      </c>
      <c r="D54" s="295">
        <v>82</v>
      </c>
      <c r="E54" s="295">
        <f>D54</f>
        <v>82</v>
      </c>
      <c r="F54" s="295" t="s">
        <v>222</v>
      </c>
      <c r="G54" s="295"/>
    </row>
    <row r="55" spans="1:7" ht="12.75">
      <c r="A55" s="293"/>
      <c r="B55" s="296" t="s">
        <v>224</v>
      </c>
      <c r="C55" s="295">
        <v>93</v>
      </c>
      <c r="D55" s="295">
        <v>76</v>
      </c>
      <c r="E55" s="295">
        <f>D55</f>
        <v>76</v>
      </c>
      <c r="F55" s="295" t="s">
        <v>222</v>
      </c>
      <c r="G55" s="295"/>
    </row>
    <row r="56" spans="1:7" ht="12.75">
      <c r="A56" s="293"/>
      <c r="B56" s="296" t="s">
        <v>225</v>
      </c>
      <c r="C56" s="295">
        <v>98</v>
      </c>
      <c r="D56" s="295">
        <v>81</v>
      </c>
      <c r="E56" s="295">
        <f>D56</f>
        <v>81</v>
      </c>
      <c r="F56" s="295" t="s">
        <v>222</v>
      </c>
      <c r="G56" s="295"/>
    </row>
    <row r="58" spans="1:2" s="72" customFormat="1" ht="12.75">
      <c r="A58" s="282" t="s">
        <v>226</v>
      </c>
      <c r="B58" s="283" t="s">
        <v>227</v>
      </c>
    </row>
    <row r="59" spans="1:15" s="72" customFormat="1" ht="12.75">
      <c r="A59" s="282"/>
      <c r="B59" s="583"/>
      <c r="C59" s="582" t="s">
        <v>228</v>
      </c>
      <c r="D59" s="582"/>
      <c r="E59" s="582"/>
      <c r="F59" s="582"/>
      <c r="G59" s="582"/>
      <c r="H59" s="582" t="s">
        <v>229</v>
      </c>
      <c r="I59" s="582"/>
      <c r="J59" s="582"/>
      <c r="K59" s="582" t="s">
        <v>230</v>
      </c>
      <c r="L59" s="582"/>
      <c r="M59" s="582"/>
      <c r="N59" s="582"/>
      <c r="O59" s="582"/>
    </row>
    <row r="60" spans="1:15" s="72" customFormat="1" ht="12.75">
      <c r="A60" s="282"/>
      <c r="B60" s="584"/>
      <c r="C60" s="582" t="s">
        <v>231</v>
      </c>
      <c r="D60" s="582" t="s">
        <v>232</v>
      </c>
      <c r="E60" s="582"/>
      <c r="F60" s="582"/>
      <c r="G60" s="582"/>
      <c r="H60" s="582" t="s">
        <v>231</v>
      </c>
      <c r="I60" s="582" t="s">
        <v>233</v>
      </c>
      <c r="J60" s="582"/>
      <c r="K60" s="582" t="s">
        <v>231</v>
      </c>
      <c r="L60" s="582" t="s">
        <v>232</v>
      </c>
      <c r="M60" s="582"/>
      <c r="N60" s="582"/>
      <c r="O60" s="582"/>
    </row>
    <row r="61" spans="1:15" s="72" customFormat="1" ht="12.75">
      <c r="A61" s="282"/>
      <c r="B61" s="584"/>
      <c r="C61" s="582"/>
      <c r="D61" s="582" t="s">
        <v>234</v>
      </c>
      <c r="E61" s="582"/>
      <c r="F61" s="582" t="s">
        <v>235</v>
      </c>
      <c r="G61" s="582"/>
      <c r="H61" s="582"/>
      <c r="I61" s="588" t="s">
        <v>234</v>
      </c>
      <c r="J61" s="588" t="s">
        <v>235</v>
      </c>
      <c r="K61" s="582"/>
      <c r="L61" s="582" t="s">
        <v>234</v>
      </c>
      <c r="M61" s="582"/>
      <c r="N61" s="582" t="s">
        <v>235</v>
      </c>
      <c r="O61" s="582"/>
    </row>
    <row r="62" spans="1:15" s="72" customFormat="1" ht="45" customHeight="1">
      <c r="A62" s="282"/>
      <c r="B62" s="585"/>
      <c r="C62" s="582"/>
      <c r="D62" s="297" t="s">
        <v>236</v>
      </c>
      <c r="E62" s="297" t="s">
        <v>237</v>
      </c>
      <c r="F62" s="297" t="s">
        <v>236</v>
      </c>
      <c r="G62" s="297" t="s">
        <v>237</v>
      </c>
      <c r="H62" s="582"/>
      <c r="I62" s="588"/>
      <c r="J62" s="588"/>
      <c r="K62" s="582"/>
      <c r="L62" s="297" t="s">
        <v>236</v>
      </c>
      <c r="M62" s="297" t="s">
        <v>237</v>
      </c>
      <c r="N62" s="297" t="s">
        <v>236</v>
      </c>
      <c r="O62" s="297" t="s">
        <v>237</v>
      </c>
    </row>
    <row r="63" spans="1:15" s="72" customFormat="1" ht="12.75">
      <c r="A63" s="282"/>
      <c r="B63" s="298" t="s">
        <v>238</v>
      </c>
      <c r="C63" s="299">
        <f>ROUND(K63/H63/12*1000,8)</f>
        <v>100.22462298</v>
      </c>
      <c r="D63" s="147">
        <v>75</v>
      </c>
      <c r="E63" s="147">
        <f aca="true" t="shared" si="0" ref="E63:E77">C63-D63</f>
        <v>25.224622980000007</v>
      </c>
      <c r="F63" s="299">
        <f>C63</f>
        <v>100.22462298</v>
      </c>
      <c r="G63" s="147">
        <v>0</v>
      </c>
      <c r="H63" s="147">
        <f aca="true" t="shared" si="1" ref="H63:O63">SUM(H64:H67)</f>
        <v>11339</v>
      </c>
      <c r="I63" s="147">
        <f t="shared" si="1"/>
        <v>10570</v>
      </c>
      <c r="J63" s="147">
        <f t="shared" si="1"/>
        <v>769</v>
      </c>
      <c r="K63" s="300">
        <f t="shared" si="1"/>
        <v>13637.364</v>
      </c>
      <c r="L63" s="300">
        <f t="shared" si="1"/>
        <v>9513</v>
      </c>
      <c r="M63" s="300">
        <f t="shared" si="1"/>
        <v>3150.5399999999995</v>
      </c>
      <c r="N63" s="300">
        <f t="shared" si="1"/>
        <v>961.188</v>
      </c>
      <c r="O63" s="300">
        <f t="shared" si="1"/>
        <v>12.636</v>
      </c>
    </row>
    <row r="64" spans="2:15" ht="12.75">
      <c r="B64" s="301" t="s">
        <v>239</v>
      </c>
      <c r="C64" s="302">
        <f>C53</f>
        <v>113</v>
      </c>
      <c r="D64" s="302">
        <v>75</v>
      </c>
      <c r="E64" s="302">
        <f t="shared" si="0"/>
        <v>38</v>
      </c>
      <c r="F64" s="302">
        <v>110</v>
      </c>
      <c r="G64" s="302">
        <f>C64-F64</f>
        <v>3</v>
      </c>
      <c r="H64" s="302">
        <f>C29</f>
        <v>1579</v>
      </c>
      <c r="I64" s="302">
        <f>H64-J64</f>
        <v>1228</v>
      </c>
      <c r="J64" s="302">
        <f>ROUND(H64*$E$46,0)</f>
        <v>351</v>
      </c>
      <c r="K64" s="303">
        <f>SUM(L64:O64)</f>
        <v>2141.1240000000003</v>
      </c>
      <c r="L64" s="304">
        <f>ROUND(D64*I64*12/1000,4)</f>
        <v>1105.2</v>
      </c>
      <c r="M64" s="304">
        <f aca="true" t="shared" si="2" ref="M64:N67">ROUND(E64*I64*12/1000,4)</f>
        <v>559.968</v>
      </c>
      <c r="N64" s="304">
        <f t="shared" si="2"/>
        <v>463.32</v>
      </c>
      <c r="O64" s="304">
        <f>ROUND(G64*J64*12/1000,4)</f>
        <v>12.636</v>
      </c>
    </row>
    <row r="65" spans="2:15" ht="12.75">
      <c r="B65" s="301" t="s">
        <v>195</v>
      </c>
      <c r="C65" s="302">
        <f>C54</f>
        <v>103</v>
      </c>
      <c r="D65" s="302">
        <v>75</v>
      </c>
      <c r="E65" s="302">
        <f t="shared" si="0"/>
        <v>28</v>
      </c>
      <c r="F65" s="302">
        <f aca="true" t="shared" si="3" ref="F65:F77">C65</f>
        <v>103</v>
      </c>
      <c r="G65" s="302">
        <f>C65-F65</f>
        <v>0</v>
      </c>
      <c r="H65" s="302">
        <f>C33</f>
        <v>4737</v>
      </c>
      <c r="I65" s="302">
        <f>H65-J65</f>
        <v>4481</v>
      </c>
      <c r="J65" s="302">
        <f>ROUND(H65*$E$47,0)</f>
        <v>256</v>
      </c>
      <c r="K65" s="303">
        <f>SUM(L65:O65)</f>
        <v>5854.932</v>
      </c>
      <c r="L65" s="304">
        <f>ROUND(D65*I65*12/1000,4)</f>
        <v>4032.9</v>
      </c>
      <c r="M65" s="304">
        <f t="shared" si="2"/>
        <v>1505.616</v>
      </c>
      <c r="N65" s="304">
        <f t="shared" si="2"/>
        <v>316.416</v>
      </c>
      <c r="O65" s="304">
        <f>ROUND(G65*J65*12/1000,4)</f>
        <v>0</v>
      </c>
    </row>
    <row r="66" spans="2:15" ht="12.75">
      <c r="B66" s="301" t="s">
        <v>196</v>
      </c>
      <c r="C66" s="302">
        <f>C55</f>
        <v>93</v>
      </c>
      <c r="D66" s="302">
        <v>75</v>
      </c>
      <c r="E66" s="302">
        <f t="shared" si="0"/>
        <v>18</v>
      </c>
      <c r="F66" s="302">
        <f t="shared" si="3"/>
        <v>93</v>
      </c>
      <c r="G66" s="302">
        <f>C66-F66</f>
        <v>0</v>
      </c>
      <c r="H66" s="302">
        <f>C37</f>
        <v>4429</v>
      </c>
      <c r="I66" s="302">
        <f>H66-J66</f>
        <v>4278</v>
      </c>
      <c r="J66" s="302">
        <f>ROUND(H66*$E$48,0)</f>
        <v>151</v>
      </c>
      <c r="K66" s="303">
        <f>SUM(L66:O66)</f>
        <v>4942.763999999999</v>
      </c>
      <c r="L66" s="304">
        <f>ROUND(D66*I66*12/1000,4)</f>
        <v>3850.2</v>
      </c>
      <c r="M66" s="304">
        <f t="shared" si="2"/>
        <v>924.048</v>
      </c>
      <c r="N66" s="304">
        <f t="shared" si="2"/>
        <v>168.516</v>
      </c>
      <c r="O66" s="304">
        <f>ROUND(G66*J66*12/1000,4)</f>
        <v>0</v>
      </c>
    </row>
    <row r="67" spans="2:15" ht="12.75">
      <c r="B67" s="301" t="s">
        <v>197</v>
      </c>
      <c r="C67" s="302">
        <f>C56</f>
        <v>98</v>
      </c>
      <c r="D67" s="302">
        <v>75</v>
      </c>
      <c r="E67" s="302">
        <f t="shared" si="0"/>
        <v>23</v>
      </c>
      <c r="F67" s="302">
        <f t="shared" si="3"/>
        <v>98</v>
      </c>
      <c r="G67" s="302">
        <f>C67-F67</f>
        <v>0</v>
      </c>
      <c r="H67" s="302">
        <f>C41</f>
        <v>594</v>
      </c>
      <c r="I67" s="302">
        <f>H67-J67</f>
        <v>583</v>
      </c>
      <c r="J67" s="302">
        <f>ROUND(H67*$E$49,0)</f>
        <v>11</v>
      </c>
      <c r="K67" s="303">
        <f>SUM(L67:O67)</f>
        <v>698.5440000000001</v>
      </c>
      <c r="L67" s="304">
        <f>ROUND(D67*I67*12/1000,4)</f>
        <v>524.7</v>
      </c>
      <c r="M67" s="304">
        <f t="shared" si="2"/>
        <v>160.908</v>
      </c>
      <c r="N67" s="304">
        <f t="shared" si="2"/>
        <v>12.936</v>
      </c>
      <c r="O67" s="304">
        <f>ROUND(G67*J67*12/1000,4)</f>
        <v>0</v>
      </c>
    </row>
    <row r="68" spans="1:15" s="72" customFormat="1" ht="12.75">
      <c r="A68" s="282"/>
      <c r="B68" s="298" t="s">
        <v>240</v>
      </c>
      <c r="C68" s="299">
        <f>ROUND(K68/H68/12*1000,8)</f>
        <v>79.604047</v>
      </c>
      <c r="D68" s="147">
        <v>75</v>
      </c>
      <c r="E68" s="299">
        <f t="shared" si="0"/>
        <v>4.604046999999994</v>
      </c>
      <c r="F68" s="299">
        <f t="shared" si="3"/>
        <v>79.604047</v>
      </c>
      <c r="G68" s="147">
        <v>0</v>
      </c>
      <c r="H68" s="147">
        <f aca="true" t="shared" si="4" ref="H68:O68">SUM(H69:H72)</f>
        <v>7660</v>
      </c>
      <c r="I68" s="147">
        <f t="shared" si="4"/>
        <v>7141</v>
      </c>
      <c r="J68" s="147">
        <f t="shared" si="4"/>
        <v>519</v>
      </c>
      <c r="K68" s="300">
        <f t="shared" si="4"/>
        <v>7317.204</v>
      </c>
      <c r="L68" s="300">
        <f t="shared" si="4"/>
        <v>6426.900000000001</v>
      </c>
      <c r="M68" s="300">
        <f t="shared" si="4"/>
        <v>387.036</v>
      </c>
      <c r="N68" s="300">
        <f t="shared" si="4"/>
        <v>503.268</v>
      </c>
      <c r="O68" s="300">
        <f t="shared" si="4"/>
        <v>0</v>
      </c>
    </row>
    <row r="69" spans="2:15" ht="12.75">
      <c r="B69" s="301" t="s">
        <v>239</v>
      </c>
      <c r="C69" s="302">
        <f>D53</f>
        <v>82</v>
      </c>
      <c r="D69" s="302">
        <v>75</v>
      </c>
      <c r="E69" s="302">
        <f t="shared" si="0"/>
        <v>7</v>
      </c>
      <c r="F69" s="302">
        <f t="shared" si="3"/>
        <v>82</v>
      </c>
      <c r="G69" s="302">
        <f>C69-F69</f>
        <v>0</v>
      </c>
      <c r="H69" s="302">
        <f>C30</f>
        <v>1067</v>
      </c>
      <c r="I69" s="302">
        <f>H69-J69</f>
        <v>830</v>
      </c>
      <c r="J69" s="302">
        <f>ROUND(H69*$E$46,0)</f>
        <v>237</v>
      </c>
      <c r="K69" s="303">
        <f>SUM(L69:O69)</f>
        <v>1049.928</v>
      </c>
      <c r="L69" s="304">
        <f>ROUND(D69*I69*12/1000,4)</f>
        <v>747</v>
      </c>
      <c r="M69" s="304">
        <f aca="true" t="shared" si="5" ref="M69:N72">ROUND(E69*I69*12/1000,4)</f>
        <v>69.72</v>
      </c>
      <c r="N69" s="304">
        <f t="shared" si="5"/>
        <v>233.208</v>
      </c>
      <c r="O69" s="304">
        <f>ROUND(G69*J69*12/1000,4)</f>
        <v>0</v>
      </c>
    </row>
    <row r="70" spans="2:15" ht="12.75">
      <c r="B70" s="301" t="s">
        <v>195</v>
      </c>
      <c r="C70" s="302">
        <f>D54</f>
        <v>82</v>
      </c>
      <c r="D70" s="302">
        <v>75</v>
      </c>
      <c r="E70" s="302">
        <f t="shared" si="0"/>
        <v>7</v>
      </c>
      <c r="F70" s="302">
        <f t="shared" si="3"/>
        <v>82</v>
      </c>
      <c r="G70" s="302">
        <f>C70-F70</f>
        <v>0</v>
      </c>
      <c r="H70" s="302">
        <f>C34</f>
        <v>3200</v>
      </c>
      <c r="I70" s="302">
        <f>H70-J70</f>
        <v>3027</v>
      </c>
      <c r="J70" s="302">
        <f>ROUND(H70*$E$47,0)</f>
        <v>173</v>
      </c>
      <c r="K70" s="303">
        <f>SUM(L70:O70)</f>
        <v>3148.8</v>
      </c>
      <c r="L70" s="304">
        <f>ROUND(D70*I70*12/1000,4)</f>
        <v>2724.3</v>
      </c>
      <c r="M70" s="304">
        <f t="shared" si="5"/>
        <v>254.268</v>
      </c>
      <c r="N70" s="304">
        <f t="shared" si="5"/>
        <v>170.232</v>
      </c>
      <c r="O70" s="304">
        <f>ROUND(G70*J70*12/1000,4)</f>
        <v>0</v>
      </c>
    </row>
    <row r="71" spans="2:15" ht="12.75">
      <c r="B71" s="301" t="s">
        <v>196</v>
      </c>
      <c r="C71" s="302">
        <f>D55</f>
        <v>76</v>
      </c>
      <c r="D71" s="302">
        <v>75</v>
      </c>
      <c r="E71" s="302">
        <f t="shared" si="0"/>
        <v>1</v>
      </c>
      <c r="F71" s="302">
        <f t="shared" si="3"/>
        <v>76</v>
      </c>
      <c r="G71" s="302">
        <f>C71-F71</f>
        <v>0</v>
      </c>
      <c r="H71" s="302">
        <f>C38</f>
        <v>2992</v>
      </c>
      <c r="I71" s="302">
        <f>H71-J71</f>
        <v>2890</v>
      </c>
      <c r="J71" s="302">
        <f>ROUND(H71*$E$48,0)</f>
        <v>102</v>
      </c>
      <c r="K71" s="303">
        <f>SUM(L71:O71)</f>
        <v>2728.7039999999997</v>
      </c>
      <c r="L71" s="304">
        <f>ROUND(D71*I71*12/1000,4)</f>
        <v>2601</v>
      </c>
      <c r="M71" s="304">
        <f t="shared" si="5"/>
        <v>34.68</v>
      </c>
      <c r="N71" s="304">
        <f t="shared" si="5"/>
        <v>93.024</v>
      </c>
      <c r="O71" s="304">
        <f>ROUND(G71*J71*12/1000,4)</f>
        <v>0</v>
      </c>
    </row>
    <row r="72" spans="2:15" ht="12.75">
      <c r="B72" s="301" t="s">
        <v>197</v>
      </c>
      <c r="C72" s="302">
        <f>D56</f>
        <v>81</v>
      </c>
      <c r="D72" s="302">
        <v>75</v>
      </c>
      <c r="E72" s="302">
        <f t="shared" si="0"/>
        <v>6</v>
      </c>
      <c r="F72" s="302">
        <f t="shared" si="3"/>
        <v>81</v>
      </c>
      <c r="G72" s="302">
        <f>C72-F72</f>
        <v>0</v>
      </c>
      <c r="H72" s="302">
        <f>C42</f>
        <v>401</v>
      </c>
      <c r="I72" s="302">
        <f>H72-J72</f>
        <v>394</v>
      </c>
      <c r="J72" s="302">
        <f>ROUND(H72*$E$49,0)</f>
        <v>7</v>
      </c>
      <c r="K72" s="303">
        <f>SUM(L72:O72)</f>
        <v>389.772</v>
      </c>
      <c r="L72" s="304">
        <f>ROUND(D72*I72*12/1000,4)</f>
        <v>354.6</v>
      </c>
      <c r="M72" s="304">
        <f t="shared" si="5"/>
        <v>28.368</v>
      </c>
      <c r="N72" s="304">
        <f t="shared" si="5"/>
        <v>6.804</v>
      </c>
      <c r="O72" s="304">
        <f>ROUND(G72*J72*12/1000,4)</f>
        <v>0</v>
      </c>
    </row>
    <row r="73" spans="1:15" s="72" customFormat="1" ht="12.75">
      <c r="A73" s="282"/>
      <c r="B73" s="298" t="s">
        <v>241</v>
      </c>
      <c r="C73" s="299">
        <f>ROUND(K73/H73/12*1000,8)</f>
        <v>79.60384904</v>
      </c>
      <c r="D73" s="147">
        <v>75</v>
      </c>
      <c r="E73" s="299">
        <f t="shared" si="0"/>
        <v>4.60384904</v>
      </c>
      <c r="F73" s="147">
        <f t="shared" si="3"/>
        <v>79.60384904</v>
      </c>
      <c r="G73" s="147">
        <v>0</v>
      </c>
      <c r="H73" s="147">
        <f aca="true" t="shared" si="6" ref="H73:O73">SUM(H74:H77)</f>
        <v>4001</v>
      </c>
      <c r="I73" s="147">
        <f t="shared" si="6"/>
        <v>3729</v>
      </c>
      <c r="J73" s="147">
        <f t="shared" si="6"/>
        <v>272</v>
      </c>
      <c r="K73" s="300">
        <f t="shared" si="6"/>
        <v>3821.9400000000005</v>
      </c>
      <c r="L73" s="300">
        <f t="shared" si="6"/>
        <v>3356.1000000000004</v>
      </c>
      <c r="M73" s="300">
        <f t="shared" si="6"/>
        <v>201.98399999999998</v>
      </c>
      <c r="N73" s="300">
        <f t="shared" si="6"/>
        <v>263.85599999999994</v>
      </c>
      <c r="O73" s="300">
        <f t="shared" si="6"/>
        <v>0</v>
      </c>
    </row>
    <row r="74" spans="2:15" ht="12.75">
      <c r="B74" s="301" t="s">
        <v>239</v>
      </c>
      <c r="C74" s="302">
        <f>E53</f>
        <v>82</v>
      </c>
      <c r="D74" s="302">
        <v>75</v>
      </c>
      <c r="E74" s="302">
        <f t="shared" si="0"/>
        <v>7</v>
      </c>
      <c r="F74" s="302">
        <f t="shared" si="3"/>
        <v>82</v>
      </c>
      <c r="G74" s="302">
        <f>C74-F74</f>
        <v>0</v>
      </c>
      <c r="H74" s="302">
        <f>C31</f>
        <v>557</v>
      </c>
      <c r="I74" s="302">
        <f>H74-J74</f>
        <v>435</v>
      </c>
      <c r="J74" s="302">
        <f>C46-J64-J69</f>
        <v>122</v>
      </c>
      <c r="K74" s="303">
        <f>SUM(L74:O74)</f>
        <v>548.088</v>
      </c>
      <c r="L74" s="304">
        <f>ROUND(D74*I74*12/1000,4)</f>
        <v>391.5</v>
      </c>
      <c r="M74" s="304">
        <f aca="true" t="shared" si="7" ref="M74:N77">ROUND(E74*I74*12/1000,4)</f>
        <v>36.54</v>
      </c>
      <c r="N74" s="304">
        <f t="shared" si="7"/>
        <v>120.048</v>
      </c>
      <c r="O74" s="304">
        <f>ROUND(G74*J74*12/1000,4)</f>
        <v>0</v>
      </c>
    </row>
    <row r="75" spans="2:15" ht="12.75">
      <c r="B75" s="301" t="s">
        <v>195</v>
      </c>
      <c r="C75" s="302">
        <f>E54</f>
        <v>82</v>
      </c>
      <c r="D75" s="302">
        <v>75</v>
      </c>
      <c r="E75" s="302">
        <f t="shared" si="0"/>
        <v>7</v>
      </c>
      <c r="F75" s="302">
        <f t="shared" si="3"/>
        <v>82</v>
      </c>
      <c r="G75" s="302">
        <f>C75-F75</f>
        <v>0</v>
      </c>
      <c r="H75" s="302">
        <f>C35</f>
        <v>1672</v>
      </c>
      <c r="I75" s="302">
        <f>H75-J75</f>
        <v>1578</v>
      </c>
      <c r="J75" s="302">
        <f>C47-J65-J70</f>
        <v>94</v>
      </c>
      <c r="K75" s="303">
        <f>SUM(L75:O75)</f>
        <v>1645.248</v>
      </c>
      <c r="L75" s="304">
        <f>ROUND(D75*I75*12/1000,4)</f>
        <v>1420.2</v>
      </c>
      <c r="M75" s="304">
        <f t="shared" si="7"/>
        <v>132.552</v>
      </c>
      <c r="N75" s="304">
        <f t="shared" si="7"/>
        <v>92.496</v>
      </c>
      <c r="O75" s="304">
        <f>ROUND(G75*J75*12/1000,4)</f>
        <v>0</v>
      </c>
    </row>
    <row r="76" spans="2:15" ht="12.75">
      <c r="B76" s="301" t="s">
        <v>196</v>
      </c>
      <c r="C76" s="302">
        <f>E55</f>
        <v>76</v>
      </c>
      <c r="D76" s="302">
        <v>75</v>
      </c>
      <c r="E76" s="302">
        <f t="shared" si="0"/>
        <v>1</v>
      </c>
      <c r="F76" s="302">
        <f t="shared" si="3"/>
        <v>76</v>
      </c>
      <c r="G76" s="302">
        <f>C76-F76</f>
        <v>0</v>
      </c>
      <c r="H76" s="302">
        <f>C39</f>
        <v>1563</v>
      </c>
      <c r="I76" s="302">
        <f>H76-J76</f>
        <v>1511</v>
      </c>
      <c r="J76" s="302">
        <f>C48-J66-J71</f>
        <v>52</v>
      </c>
      <c r="K76" s="303">
        <f>SUM(L76:O76)</f>
        <v>1425.4560000000001</v>
      </c>
      <c r="L76" s="304">
        <f>ROUND(D76*I76*12/1000,4)</f>
        <v>1359.9</v>
      </c>
      <c r="M76" s="304">
        <f t="shared" si="7"/>
        <v>18.132</v>
      </c>
      <c r="N76" s="304">
        <f t="shared" si="7"/>
        <v>47.424</v>
      </c>
      <c r="O76" s="304">
        <f>ROUND(G76*J76*12/1000,4)</f>
        <v>0</v>
      </c>
    </row>
    <row r="77" spans="2:15" ht="12.75">
      <c r="B77" s="301" t="s">
        <v>197</v>
      </c>
      <c r="C77" s="302">
        <f>E56</f>
        <v>81</v>
      </c>
      <c r="D77" s="302">
        <v>75</v>
      </c>
      <c r="E77" s="302">
        <f t="shared" si="0"/>
        <v>6</v>
      </c>
      <c r="F77" s="302">
        <f t="shared" si="3"/>
        <v>81</v>
      </c>
      <c r="G77" s="302">
        <f>C77-F77</f>
        <v>0</v>
      </c>
      <c r="H77" s="302">
        <f>C43</f>
        <v>209</v>
      </c>
      <c r="I77" s="302">
        <f>H77-J77</f>
        <v>205</v>
      </c>
      <c r="J77" s="302">
        <f>C49-J67-J72</f>
        <v>4</v>
      </c>
      <c r="K77" s="303">
        <f>SUM(L77:O77)</f>
        <v>203.148</v>
      </c>
      <c r="L77" s="304">
        <f>ROUND(D77*I77*12/1000,4)</f>
        <v>184.5</v>
      </c>
      <c r="M77" s="304">
        <f t="shared" si="7"/>
        <v>14.76</v>
      </c>
      <c r="N77" s="304">
        <f t="shared" si="7"/>
        <v>3.888</v>
      </c>
      <c r="O77" s="304">
        <f>ROUND(G77*J77*12/1000,4)</f>
        <v>0</v>
      </c>
    </row>
  </sheetData>
  <sheetProtection/>
  <mergeCells count="21">
    <mergeCell ref="J61:J62"/>
    <mergeCell ref="F61:G61"/>
    <mergeCell ref="I61:I62"/>
    <mergeCell ref="K60:K62"/>
    <mergeCell ref="I60:J60"/>
    <mergeCell ref="A1:H1"/>
    <mergeCell ref="E30:E31"/>
    <mergeCell ref="E34:E35"/>
    <mergeCell ref="E38:E39"/>
    <mergeCell ref="E42:E43"/>
    <mergeCell ref="K59:O59"/>
    <mergeCell ref="C59:G59"/>
    <mergeCell ref="B59:B62"/>
    <mergeCell ref="D61:E61"/>
    <mergeCell ref="H59:J59"/>
    <mergeCell ref="L61:M61"/>
    <mergeCell ref="N61:O61"/>
    <mergeCell ref="C60:C62"/>
    <mergeCell ref="D60:G60"/>
    <mergeCell ref="H60:H62"/>
    <mergeCell ref="L60:O6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28">
      <selection activeCell="B54" sqref="B54"/>
    </sheetView>
  </sheetViews>
  <sheetFormatPr defaultColWidth="9.00390625" defaultRowHeight="12.75"/>
  <cols>
    <col min="1" max="1" width="2.625" style="204" bestFit="1" customWidth="1"/>
    <col min="2" max="2" width="38.875" style="75" customWidth="1"/>
    <col min="3" max="3" width="12.625" style="75" bestFit="1" customWidth="1"/>
    <col min="4" max="4" width="9.125" style="75" customWidth="1"/>
    <col min="5" max="5" width="11.75390625" style="75" customWidth="1"/>
    <col min="6" max="6" width="13.625" style="75" customWidth="1"/>
    <col min="7" max="8" width="12.00390625" style="75" customWidth="1"/>
    <col min="9" max="9" width="11.375" style="75" customWidth="1"/>
    <col min="10" max="10" width="8.00390625" style="75" customWidth="1"/>
    <col min="11" max="11" width="10.625" style="75" bestFit="1" customWidth="1"/>
    <col min="12" max="13" width="9.625" style="75" bestFit="1" customWidth="1"/>
    <col min="14" max="14" width="8.875" style="75" bestFit="1" customWidth="1"/>
    <col min="15" max="15" width="8.125" style="75" bestFit="1" customWidth="1"/>
    <col min="16" max="16384" width="9.125" style="75" customWidth="1"/>
  </cols>
  <sheetData>
    <row r="1" spans="1:8" ht="14.25">
      <c r="A1" s="589" t="s">
        <v>242</v>
      </c>
      <c r="B1" s="589"/>
      <c r="C1" s="589"/>
      <c r="D1" s="589"/>
      <c r="E1" s="589"/>
      <c r="F1" s="589"/>
      <c r="G1" s="589"/>
      <c r="H1" s="589"/>
    </row>
    <row r="2" spans="1:8" ht="14.25">
      <c r="A2" s="305"/>
      <c r="B2" s="305"/>
      <c r="C2" s="590"/>
      <c r="D2" s="590"/>
      <c r="E2" s="590"/>
      <c r="F2" s="305"/>
      <c r="G2" s="305"/>
      <c r="H2" s="305"/>
    </row>
    <row r="3" spans="1:8" ht="14.25">
      <c r="A3" s="305"/>
      <c r="B3" s="305"/>
      <c r="C3" s="591" t="s">
        <v>243</v>
      </c>
      <c r="D3" s="591"/>
      <c r="E3" s="591"/>
      <c r="F3" s="305"/>
      <c r="G3" s="305"/>
      <c r="H3" s="305"/>
    </row>
    <row r="4" ht="12.75">
      <c r="E4" s="204" t="s">
        <v>180</v>
      </c>
    </row>
    <row r="5" spans="1:5" s="309" customFormat="1" ht="26.25" thickBot="1">
      <c r="A5" s="306" t="s">
        <v>181</v>
      </c>
      <c r="B5" s="307" t="s">
        <v>182</v>
      </c>
      <c r="C5" s="308"/>
      <c r="D5" s="309" t="s">
        <v>6</v>
      </c>
      <c r="E5" s="309">
        <v>1</v>
      </c>
    </row>
    <row r="6" spans="2:14" ht="16.5" thickBot="1">
      <c r="B6" s="75" t="s">
        <v>183</v>
      </c>
      <c r="C6" s="310"/>
      <c r="D6" s="75" t="s">
        <v>6</v>
      </c>
      <c r="E6" s="75" t="e">
        <f>ROUND(C6/C5,3)</f>
        <v>#DIV/0!</v>
      </c>
      <c r="I6" s="311"/>
      <c r="J6" s="312" t="s">
        <v>184</v>
      </c>
      <c r="K6" s="313"/>
      <c r="L6" s="313"/>
      <c r="M6" s="313"/>
      <c r="N6" s="313"/>
    </row>
    <row r="7" spans="2:14" ht="16.5" thickBot="1">
      <c r="B7" s="314" t="s">
        <v>185</v>
      </c>
      <c r="C7" s="310"/>
      <c r="D7" s="75" t="s">
        <v>6</v>
      </c>
      <c r="E7" s="75" t="e">
        <f>ROUND(C7/C5,3)</f>
        <v>#DIV/0!</v>
      </c>
      <c r="I7" s="313"/>
      <c r="J7" s="315"/>
      <c r="K7" s="313"/>
      <c r="L7" s="313"/>
      <c r="M7" s="313"/>
      <c r="N7" s="313"/>
    </row>
    <row r="8" spans="2:14" ht="16.5" thickBot="1">
      <c r="B8" s="314" t="s">
        <v>186</v>
      </c>
      <c r="C8" s="310"/>
      <c r="D8" s="75" t="s">
        <v>6</v>
      </c>
      <c r="E8" s="75" t="e">
        <f>ROUND(C8/C5,3)</f>
        <v>#DIV/0!</v>
      </c>
      <c r="I8" s="316"/>
      <c r="J8" s="312" t="s">
        <v>187</v>
      </c>
      <c r="K8" s="313"/>
      <c r="L8" s="313"/>
      <c r="M8" s="313"/>
      <c r="N8" s="313"/>
    </row>
    <row r="9" spans="2:5" ht="12.75">
      <c r="B9" s="314" t="s">
        <v>188</v>
      </c>
      <c r="C9" s="310"/>
      <c r="D9" s="75" t="s">
        <v>6</v>
      </c>
      <c r="E9" s="75" t="e">
        <f>E5-E6-E7-E8</f>
        <v>#DIV/0!</v>
      </c>
    </row>
    <row r="10" ht="7.5" customHeight="1"/>
    <row r="11" spans="1:8" s="309" customFormat="1" ht="25.5">
      <c r="A11" s="306" t="s">
        <v>189</v>
      </c>
      <c r="B11" s="317" t="s">
        <v>190</v>
      </c>
      <c r="C11" s="308"/>
      <c r="D11" s="309" t="s">
        <v>191</v>
      </c>
      <c r="F11" s="318" t="s">
        <v>192</v>
      </c>
      <c r="G11" s="319" t="e">
        <f>ROUND(C5/C11*1000,1)</f>
        <v>#DIV/0!</v>
      </c>
      <c r="H11" s="309" t="s">
        <v>193</v>
      </c>
    </row>
    <row r="12" spans="2:4" ht="12.75">
      <c r="B12" s="75" t="s">
        <v>194</v>
      </c>
      <c r="C12" s="320" t="e">
        <f>ROUND(C6/G11*1000,0)</f>
        <v>#DIV/0!</v>
      </c>
      <c r="D12" s="75" t="s">
        <v>191</v>
      </c>
    </row>
    <row r="13" spans="2:4" ht="12.75">
      <c r="B13" s="314" t="s">
        <v>195</v>
      </c>
      <c r="C13" s="320" t="e">
        <f>ROUND(C7/G11*1000,0)</f>
        <v>#DIV/0!</v>
      </c>
      <c r="D13" s="75" t="s">
        <v>191</v>
      </c>
    </row>
    <row r="14" spans="2:4" ht="12.75">
      <c r="B14" s="314" t="s">
        <v>196</v>
      </c>
      <c r="C14" s="320" t="e">
        <f>ROUND(C8/G11*1000,0)</f>
        <v>#DIV/0!</v>
      </c>
      <c r="D14" s="75" t="s">
        <v>191</v>
      </c>
    </row>
    <row r="15" spans="2:4" ht="12.75">
      <c r="B15" s="314" t="s">
        <v>197</v>
      </c>
      <c r="C15" s="320" t="e">
        <f>C11-C12-C13-C14</f>
        <v>#DIV/0!</v>
      </c>
      <c r="D15" s="75" t="s">
        <v>191</v>
      </c>
    </row>
    <row r="17" spans="1:2" s="263" customFormat="1" ht="12.75">
      <c r="A17" s="321" t="s">
        <v>198</v>
      </c>
      <c r="B17" s="322" t="s">
        <v>199</v>
      </c>
    </row>
    <row r="18" spans="2:5" ht="12.75">
      <c r="B18" s="75" t="s">
        <v>194</v>
      </c>
      <c r="C18" s="310"/>
      <c r="D18" s="75" t="s">
        <v>200</v>
      </c>
      <c r="E18" s="323" t="s">
        <v>201</v>
      </c>
    </row>
    <row r="19" spans="2:5" ht="12.75">
      <c r="B19" s="314" t="s">
        <v>195</v>
      </c>
      <c r="C19" s="310"/>
      <c r="D19" s="75" t="s">
        <v>200</v>
      </c>
      <c r="E19" s="323" t="s">
        <v>201</v>
      </c>
    </row>
    <row r="20" spans="2:5" ht="12.75">
      <c r="B20" s="314" t="s">
        <v>196</v>
      </c>
      <c r="C20" s="310"/>
      <c r="D20" s="75" t="s">
        <v>200</v>
      </c>
      <c r="E20" s="323" t="s">
        <v>201</v>
      </c>
    </row>
    <row r="21" spans="2:5" ht="12.75">
      <c r="B21" s="314" t="s">
        <v>197</v>
      </c>
      <c r="C21" s="310"/>
      <c r="D21" s="75" t="s">
        <v>200</v>
      </c>
      <c r="E21" s="323" t="s">
        <v>201</v>
      </c>
    </row>
    <row r="22" ht="8.25" customHeight="1">
      <c r="B22" s="314"/>
    </row>
    <row r="23" spans="2:6" ht="12.75">
      <c r="B23" s="324"/>
      <c r="E23" s="204" t="s">
        <v>202</v>
      </c>
      <c r="F23" s="204" t="s">
        <v>180</v>
      </c>
    </row>
    <row r="24" spans="1:6" s="263" customFormat="1" ht="12.75">
      <c r="A24" s="321" t="s">
        <v>203</v>
      </c>
      <c r="B24" s="263" t="s">
        <v>204</v>
      </c>
      <c r="C24" s="325">
        <f>C5</f>
        <v>0</v>
      </c>
      <c r="D24" s="263" t="s">
        <v>6</v>
      </c>
      <c r="E24" s="325">
        <f>C11</f>
        <v>0</v>
      </c>
      <c r="F24" s="325">
        <v>1</v>
      </c>
    </row>
    <row r="25" spans="2:6" ht="12.75">
      <c r="B25" s="75" t="s">
        <v>205</v>
      </c>
      <c r="C25" s="310"/>
      <c r="D25" s="75" t="s">
        <v>6</v>
      </c>
      <c r="E25" s="320" t="e">
        <f>ROUND(C25/G11*1000,0)</f>
        <v>#DIV/0!</v>
      </c>
      <c r="F25" s="320" t="e">
        <f>ROUND(E25/E24,3)</f>
        <v>#DIV/0!</v>
      </c>
    </row>
    <row r="26" spans="2:6" ht="12.75">
      <c r="B26" s="75" t="s">
        <v>206</v>
      </c>
      <c r="C26" s="310"/>
      <c r="D26" s="75" t="s">
        <v>6</v>
      </c>
      <c r="E26" s="320" t="e">
        <f>ROUND(C26/G11*1000,0)</f>
        <v>#DIV/0!</v>
      </c>
      <c r="F26" s="320" t="e">
        <f>ROUND(E26/E24,3)</f>
        <v>#DIV/0!</v>
      </c>
    </row>
    <row r="27" spans="2:6" ht="12.75">
      <c r="B27" s="75" t="s">
        <v>207</v>
      </c>
      <c r="C27" s="326">
        <f>C24-C25-C26</f>
        <v>0</v>
      </c>
      <c r="D27" s="75" t="s">
        <v>6</v>
      </c>
      <c r="E27" s="320" t="e">
        <f>E24-E25-E26</f>
        <v>#DIV/0!</v>
      </c>
      <c r="F27" s="320" t="e">
        <f>F24-F25-F26</f>
        <v>#DIV/0!</v>
      </c>
    </row>
    <row r="29" spans="1:4" s="309" customFormat="1" ht="25.5">
      <c r="A29" s="306" t="s">
        <v>208</v>
      </c>
      <c r="B29" s="317" t="s">
        <v>209</v>
      </c>
      <c r="C29" s="327">
        <f>C11</f>
        <v>0</v>
      </c>
      <c r="D29" s="309" t="s">
        <v>191</v>
      </c>
    </row>
    <row r="30" spans="2:4" ht="12.75">
      <c r="B30" s="75" t="s">
        <v>194</v>
      </c>
      <c r="C30" s="320" t="e">
        <f>C12</f>
        <v>#DIV/0!</v>
      </c>
      <c r="D30" s="75" t="s">
        <v>191</v>
      </c>
    </row>
    <row r="31" spans="2:5" ht="12.75">
      <c r="B31" s="328" t="s">
        <v>210</v>
      </c>
      <c r="C31" s="329" t="e">
        <f>ROUND(C30*$F$25,0)</f>
        <v>#DIV/0!</v>
      </c>
      <c r="D31" s="330" t="s">
        <v>191</v>
      </c>
      <c r="E31" s="204" t="s">
        <v>211</v>
      </c>
    </row>
    <row r="32" spans="2:5" ht="12.75">
      <c r="B32" s="328" t="s">
        <v>212</v>
      </c>
      <c r="C32" s="329" t="e">
        <f>ROUND(C30*$F$26,0)</f>
        <v>#DIV/0!</v>
      </c>
      <c r="D32" s="330" t="s">
        <v>191</v>
      </c>
      <c r="E32" s="592" t="e">
        <f>C32+C33</f>
        <v>#DIV/0!</v>
      </c>
    </row>
    <row r="33" spans="2:5" ht="12.75">
      <c r="B33" s="328" t="s">
        <v>213</v>
      </c>
      <c r="C33" s="329" t="e">
        <f>C30-C31-C32</f>
        <v>#DIV/0!</v>
      </c>
      <c r="D33" s="330" t="s">
        <v>191</v>
      </c>
      <c r="E33" s="592"/>
    </row>
    <row r="34" spans="2:4" ht="12.75">
      <c r="B34" s="314" t="s">
        <v>195</v>
      </c>
      <c r="C34" s="320" t="e">
        <f>C13</f>
        <v>#DIV/0!</v>
      </c>
      <c r="D34" s="75" t="s">
        <v>191</v>
      </c>
    </row>
    <row r="35" spans="2:5" ht="12.75">
      <c r="B35" s="328" t="s">
        <v>210</v>
      </c>
      <c r="C35" s="329" t="e">
        <f>ROUND(C34*$F$25,0)</f>
        <v>#DIV/0!</v>
      </c>
      <c r="D35" s="330" t="s">
        <v>191</v>
      </c>
      <c r="E35" s="204" t="s">
        <v>211</v>
      </c>
    </row>
    <row r="36" spans="2:5" ht="12.75">
      <c r="B36" s="328" t="s">
        <v>212</v>
      </c>
      <c r="C36" s="329" t="e">
        <f>ROUND(C34*$F$26,0)</f>
        <v>#DIV/0!</v>
      </c>
      <c r="D36" s="330" t="s">
        <v>191</v>
      </c>
      <c r="E36" s="592" t="e">
        <f>C36+C37</f>
        <v>#DIV/0!</v>
      </c>
    </row>
    <row r="37" spans="2:5" ht="12.75">
      <c r="B37" s="328" t="s">
        <v>213</v>
      </c>
      <c r="C37" s="329" t="e">
        <f>C34-C35-C36</f>
        <v>#DIV/0!</v>
      </c>
      <c r="D37" s="330" t="s">
        <v>191</v>
      </c>
      <c r="E37" s="592"/>
    </row>
    <row r="38" spans="2:4" ht="12.75">
      <c r="B38" s="314" t="s">
        <v>196</v>
      </c>
      <c r="C38" s="320" t="e">
        <f>C14</f>
        <v>#DIV/0!</v>
      </c>
      <c r="D38" s="75" t="s">
        <v>191</v>
      </c>
    </row>
    <row r="39" spans="2:5" ht="12.75">
      <c r="B39" s="328" t="s">
        <v>210</v>
      </c>
      <c r="C39" s="329" t="e">
        <f>ROUND(C38*$F$25,0)</f>
        <v>#DIV/0!</v>
      </c>
      <c r="D39" s="331" t="s">
        <v>191</v>
      </c>
      <c r="E39" s="204" t="s">
        <v>211</v>
      </c>
    </row>
    <row r="40" spans="2:5" ht="12.75">
      <c r="B40" s="328" t="s">
        <v>212</v>
      </c>
      <c r="C40" s="329" t="e">
        <f>ROUND(C38*$F$26,0)</f>
        <v>#DIV/0!</v>
      </c>
      <c r="D40" s="331" t="s">
        <v>191</v>
      </c>
      <c r="E40" s="592" t="e">
        <f>C40+C41</f>
        <v>#DIV/0!</v>
      </c>
    </row>
    <row r="41" spans="2:5" ht="12.75">
      <c r="B41" s="328" t="s">
        <v>213</v>
      </c>
      <c r="C41" s="329" t="e">
        <f>C38-C39-C40</f>
        <v>#DIV/0!</v>
      </c>
      <c r="D41" s="331" t="s">
        <v>191</v>
      </c>
      <c r="E41" s="592"/>
    </row>
    <row r="42" spans="2:4" ht="12.75">
      <c r="B42" s="314" t="s">
        <v>197</v>
      </c>
      <c r="C42" s="320" t="e">
        <f>C29-C30-C34-C38</f>
        <v>#DIV/0!</v>
      </c>
      <c r="D42" s="75" t="s">
        <v>191</v>
      </c>
    </row>
    <row r="43" spans="2:5" ht="12.75">
      <c r="B43" s="328" t="s">
        <v>210</v>
      </c>
      <c r="C43" s="329" t="e">
        <f>ROUND(C42*$F$25,0)</f>
        <v>#DIV/0!</v>
      </c>
      <c r="D43" s="331" t="s">
        <v>191</v>
      </c>
      <c r="E43" s="204" t="s">
        <v>211</v>
      </c>
    </row>
    <row r="44" spans="2:5" ht="12.75">
      <c r="B44" s="328" t="s">
        <v>212</v>
      </c>
      <c r="C44" s="329" t="e">
        <f>ROUND(C42*$F$26,0)</f>
        <v>#DIV/0!</v>
      </c>
      <c r="D44" s="331" t="s">
        <v>191</v>
      </c>
      <c r="E44" s="592" t="e">
        <f>C44+C45</f>
        <v>#DIV/0!</v>
      </c>
    </row>
    <row r="45" spans="2:5" ht="12.75">
      <c r="B45" s="328" t="s">
        <v>213</v>
      </c>
      <c r="C45" s="329" t="e">
        <f>C42-C43-C44</f>
        <v>#DIV/0!</v>
      </c>
      <c r="D45" s="331" t="s">
        <v>191</v>
      </c>
      <c r="E45" s="592"/>
    </row>
    <row r="47" spans="1:6" s="309" customFormat="1" ht="25.5">
      <c r="A47" s="306" t="s">
        <v>214</v>
      </c>
      <c r="B47" s="307" t="s">
        <v>215</v>
      </c>
      <c r="C47" s="308"/>
      <c r="D47" s="309" t="s">
        <v>191</v>
      </c>
      <c r="E47" s="332" t="s">
        <v>180</v>
      </c>
      <c r="F47" s="333" t="s">
        <v>201</v>
      </c>
    </row>
    <row r="48" spans="2:6" ht="12.75">
      <c r="B48" s="75" t="s">
        <v>194</v>
      </c>
      <c r="C48" s="310"/>
      <c r="D48" s="75" t="s">
        <v>191</v>
      </c>
      <c r="E48" s="320" t="e">
        <f>ROUND(C48/C30,3)</f>
        <v>#DIV/0!</v>
      </c>
      <c r="F48" s="333" t="s">
        <v>201</v>
      </c>
    </row>
    <row r="49" spans="2:6" ht="12.75">
      <c r="B49" s="314" t="s">
        <v>195</v>
      </c>
      <c r="C49" s="310"/>
      <c r="D49" s="75" t="s">
        <v>200</v>
      </c>
      <c r="E49" s="320" t="e">
        <f>ROUND(C49/C34,3)</f>
        <v>#DIV/0!</v>
      </c>
      <c r="F49" s="333" t="s">
        <v>201</v>
      </c>
    </row>
    <row r="50" spans="2:6" ht="12.75">
      <c r="B50" s="314" t="s">
        <v>196</v>
      </c>
      <c r="C50" s="310"/>
      <c r="D50" s="75" t="s">
        <v>191</v>
      </c>
      <c r="E50" s="320" t="e">
        <f>ROUND(C50/C38,3)</f>
        <v>#DIV/0!</v>
      </c>
      <c r="F50" s="333" t="s">
        <v>201</v>
      </c>
    </row>
    <row r="51" spans="2:6" ht="12.75">
      <c r="B51" s="314" t="s">
        <v>197</v>
      </c>
      <c r="C51" s="326">
        <f>C47-C48-C49-C50</f>
        <v>0</v>
      </c>
      <c r="D51" s="75" t="s">
        <v>200</v>
      </c>
      <c r="E51" s="320" t="e">
        <f>ROUND(C51/C42,3)</f>
        <v>#DIV/0!</v>
      </c>
      <c r="F51" s="333" t="s">
        <v>201</v>
      </c>
    </row>
    <row r="53" spans="1:8" ht="12.75">
      <c r="A53" s="334" t="s">
        <v>216</v>
      </c>
      <c r="B53" s="335" t="s">
        <v>306</v>
      </c>
      <c r="C53" s="336"/>
      <c r="D53" s="336"/>
      <c r="E53" s="336"/>
      <c r="F53" s="336"/>
      <c r="G53" s="336"/>
      <c r="H53" s="336"/>
    </row>
    <row r="54" spans="1:8" ht="12.75">
      <c r="A54" s="334"/>
      <c r="B54" s="335"/>
      <c r="C54" s="334" t="s">
        <v>218</v>
      </c>
      <c r="D54" s="334" t="s">
        <v>219</v>
      </c>
      <c r="E54" s="334" t="s">
        <v>220</v>
      </c>
      <c r="F54" s="336"/>
      <c r="G54" s="336"/>
      <c r="H54" s="336"/>
    </row>
    <row r="55" spans="1:8" ht="12.75">
      <c r="A55" s="334"/>
      <c r="B55" s="337" t="s">
        <v>239</v>
      </c>
      <c r="C55" s="310"/>
      <c r="D55" s="310"/>
      <c r="E55" s="310"/>
      <c r="F55" s="336" t="s">
        <v>222</v>
      </c>
      <c r="G55" s="336"/>
      <c r="H55" s="336"/>
    </row>
    <row r="56" spans="1:8" ht="12.75">
      <c r="A56" s="334"/>
      <c r="B56" s="337" t="s">
        <v>195</v>
      </c>
      <c r="C56" s="310"/>
      <c r="D56" s="310"/>
      <c r="E56" s="310"/>
      <c r="F56" s="336" t="s">
        <v>222</v>
      </c>
      <c r="G56" s="336"/>
      <c r="H56" s="336"/>
    </row>
    <row r="57" spans="1:8" ht="12.75">
      <c r="A57" s="334"/>
      <c r="B57" s="337" t="s">
        <v>196</v>
      </c>
      <c r="C57" s="310"/>
      <c r="D57" s="310"/>
      <c r="E57" s="310"/>
      <c r="F57" s="336" t="s">
        <v>222</v>
      </c>
      <c r="G57" s="336"/>
      <c r="H57" s="336"/>
    </row>
    <row r="58" spans="1:8" ht="12.75">
      <c r="A58" s="334"/>
      <c r="B58" s="337" t="s">
        <v>197</v>
      </c>
      <c r="C58" s="310"/>
      <c r="D58" s="310"/>
      <c r="E58" s="310"/>
      <c r="F58" s="336" t="s">
        <v>222</v>
      </c>
      <c r="G58" s="336"/>
      <c r="H58" s="336"/>
    </row>
    <row r="60" spans="1:2" s="263" customFormat="1" ht="12.75">
      <c r="A60" s="321" t="s">
        <v>226</v>
      </c>
      <c r="B60" s="322" t="s">
        <v>244</v>
      </c>
    </row>
    <row r="61" spans="1:15" s="263" customFormat="1" ht="12.75">
      <c r="A61" s="321"/>
      <c r="B61" s="593"/>
      <c r="C61" s="582" t="s">
        <v>228</v>
      </c>
      <c r="D61" s="582"/>
      <c r="E61" s="582"/>
      <c r="F61" s="582"/>
      <c r="G61" s="582"/>
      <c r="H61" s="582" t="s">
        <v>229</v>
      </c>
      <c r="I61" s="582"/>
      <c r="J61" s="582"/>
      <c r="K61" s="582" t="s">
        <v>230</v>
      </c>
      <c r="L61" s="582"/>
      <c r="M61" s="582"/>
      <c r="N61" s="582"/>
      <c r="O61" s="582"/>
    </row>
    <row r="62" spans="1:15" s="263" customFormat="1" ht="12.75">
      <c r="A62" s="321"/>
      <c r="B62" s="594"/>
      <c r="C62" s="582" t="s">
        <v>231</v>
      </c>
      <c r="D62" s="582" t="s">
        <v>232</v>
      </c>
      <c r="E62" s="582"/>
      <c r="F62" s="582"/>
      <c r="G62" s="582"/>
      <c r="H62" s="582" t="s">
        <v>231</v>
      </c>
      <c r="I62" s="582" t="s">
        <v>233</v>
      </c>
      <c r="J62" s="582"/>
      <c r="K62" s="582" t="s">
        <v>231</v>
      </c>
      <c r="L62" s="582" t="s">
        <v>232</v>
      </c>
      <c r="M62" s="582"/>
      <c r="N62" s="582"/>
      <c r="O62" s="582"/>
    </row>
    <row r="63" spans="1:15" s="263" customFormat="1" ht="12.75">
      <c r="A63" s="321"/>
      <c r="B63" s="594"/>
      <c r="C63" s="582"/>
      <c r="D63" s="582" t="s">
        <v>234</v>
      </c>
      <c r="E63" s="582"/>
      <c r="F63" s="582" t="s">
        <v>235</v>
      </c>
      <c r="G63" s="582"/>
      <c r="H63" s="582"/>
      <c r="I63" s="588" t="s">
        <v>234</v>
      </c>
      <c r="J63" s="588" t="s">
        <v>235</v>
      </c>
      <c r="K63" s="582"/>
      <c r="L63" s="582" t="s">
        <v>234</v>
      </c>
      <c r="M63" s="582"/>
      <c r="N63" s="582" t="s">
        <v>235</v>
      </c>
      <c r="O63" s="582"/>
    </row>
    <row r="64" spans="1:15" s="263" customFormat="1" ht="45" customHeight="1">
      <c r="A64" s="321"/>
      <c r="B64" s="595"/>
      <c r="C64" s="582"/>
      <c r="D64" s="297" t="s">
        <v>236</v>
      </c>
      <c r="E64" s="297" t="s">
        <v>237</v>
      </c>
      <c r="F64" s="297" t="s">
        <v>236</v>
      </c>
      <c r="G64" s="297" t="s">
        <v>237</v>
      </c>
      <c r="H64" s="582"/>
      <c r="I64" s="588"/>
      <c r="J64" s="588"/>
      <c r="K64" s="582"/>
      <c r="L64" s="297" t="s">
        <v>236</v>
      </c>
      <c r="M64" s="297" t="s">
        <v>237</v>
      </c>
      <c r="N64" s="297" t="s">
        <v>236</v>
      </c>
      <c r="O64" s="297" t="s">
        <v>237</v>
      </c>
    </row>
    <row r="65" spans="1:15" s="263" customFormat="1" ht="12.75">
      <c r="A65" s="321"/>
      <c r="B65" s="338" t="s">
        <v>238</v>
      </c>
      <c r="C65" s="339" t="e">
        <f>ROUND(K65/H65/12*1000,8)</f>
        <v>#DIV/0!</v>
      </c>
      <c r="D65" s="340"/>
      <c r="E65" s="340"/>
      <c r="F65" s="339"/>
      <c r="G65" s="340"/>
      <c r="H65" s="340" t="e">
        <f aca="true" t="shared" si="0" ref="H65:O65">SUM(H66:H69)</f>
        <v>#DIV/0!</v>
      </c>
      <c r="I65" s="340" t="e">
        <f t="shared" si="0"/>
        <v>#DIV/0!</v>
      </c>
      <c r="J65" s="340" t="e">
        <f t="shared" si="0"/>
        <v>#DIV/0!</v>
      </c>
      <c r="K65" s="341" t="e">
        <f t="shared" si="0"/>
        <v>#DIV/0!</v>
      </c>
      <c r="L65" s="341" t="e">
        <f t="shared" si="0"/>
        <v>#DIV/0!</v>
      </c>
      <c r="M65" s="341" t="e">
        <f t="shared" si="0"/>
        <v>#DIV/0!</v>
      </c>
      <c r="N65" s="341" t="e">
        <f t="shared" si="0"/>
        <v>#DIV/0!</v>
      </c>
      <c r="O65" s="341" t="e">
        <f t="shared" si="0"/>
        <v>#DIV/0!</v>
      </c>
    </row>
    <row r="66" spans="2:15" ht="12.75">
      <c r="B66" s="342" t="s">
        <v>239</v>
      </c>
      <c r="C66" s="343">
        <f>C55</f>
        <v>0</v>
      </c>
      <c r="D66" s="343">
        <v>75</v>
      </c>
      <c r="E66" s="343">
        <f aca="true" t="shared" si="1" ref="E66:E79">C66-D66</f>
        <v>-75</v>
      </c>
      <c r="F66" s="343"/>
      <c r="G66" s="343">
        <f>C66-F66</f>
        <v>0</v>
      </c>
      <c r="H66" s="343" t="e">
        <f>C31</f>
        <v>#DIV/0!</v>
      </c>
      <c r="I66" s="343" t="e">
        <f>H66-J66</f>
        <v>#DIV/0!</v>
      </c>
      <c r="J66" s="343" t="e">
        <f>ROUND(H66*$E$48,0)</f>
        <v>#DIV/0!</v>
      </c>
      <c r="K66" s="303" t="e">
        <f>SUM(L66:O66)</f>
        <v>#DIV/0!</v>
      </c>
      <c r="L66" s="304" t="e">
        <f>ROUND(D66*I66*12/1000,4)</f>
        <v>#DIV/0!</v>
      </c>
      <c r="M66" s="304" t="e">
        <f aca="true" t="shared" si="2" ref="M66:N69">ROUND(E66*I66*12/1000,4)</f>
        <v>#DIV/0!</v>
      </c>
      <c r="N66" s="304" t="e">
        <f t="shared" si="2"/>
        <v>#DIV/0!</v>
      </c>
      <c r="O66" s="304" t="e">
        <f>ROUND(G66*J66*12/1000,4)</f>
        <v>#DIV/0!</v>
      </c>
    </row>
    <row r="67" spans="2:15" ht="12.75">
      <c r="B67" s="342" t="s">
        <v>195</v>
      </c>
      <c r="C67" s="343">
        <f>C56</f>
        <v>0</v>
      </c>
      <c r="D67" s="343">
        <v>75</v>
      </c>
      <c r="E67" s="343">
        <f t="shared" si="1"/>
        <v>-75</v>
      </c>
      <c r="F67" s="343"/>
      <c r="G67" s="343">
        <f>C67-F67</f>
        <v>0</v>
      </c>
      <c r="H67" s="343" t="e">
        <f>C35</f>
        <v>#DIV/0!</v>
      </c>
      <c r="I67" s="343" t="e">
        <f>H67-J67</f>
        <v>#DIV/0!</v>
      </c>
      <c r="J67" s="343" t="e">
        <f>ROUND(H67*$E$49,0)</f>
        <v>#DIV/0!</v>
      </c>
      <c r="K67" s="303" t="e">
        <f>SUM(L67:O67)</f>
        <v>#DIV/0!</v>
      </c>
      <c r="L67" s="304" t="e">
        <f>ROUND(D67*I67*12/1000,4)</f>
        <v>#DIV/0!</v>
      </c>
      <c r="M67" s="304" t="e">
        <f t="shared" si="2"/>
        <v>#DIV/0!</v>
      </c>
      <c r="N67" s="304" t="e">
        <f t="shared" si="2"/>
        <v>#DIV/0!</v>
      </c>
      <c r="O67" s="304" t="e">
        <f>ROUND(G67*J67*12/1000,4)</f>
        <v>#DIV/0!</v>
      </c>
    </row>
    <row r="68" spans="2:15" ht="12.75">
      <c r="B68" s="342" t="s">
        <v>196</v>
      </c>
      <c r="C68" s="343">
        <f>C57</f>
        <v>0</v>
      </c>
      <c r="D68" s="343">
        <v>75</v>
      </c>
      <c r="E68" s="343">
        <f t="shared" si="1"/>
        <v>-75</v>
      </c>
      <c r="F68" s="343"/>
      <c r="G68" s="343">
        <f>C68-F68</f>
        <v>0</v>
      </c>
      <c r="H68" s="343" t="e">
        <f>C39</f>
        <v>#DIV/0!</v>
      </c>
      <c r="I68" s="343" t="e">
        <f>H68-J68</f>
        <v>#DIV/0!</v>
      </c>
      <c r="J68" s="343" t="e">
        <f>ROUND(H68*$E$50,0)</f>
        <v>#DIV/0!</v>
      </c>
      <c r="K68" s="303" t="e">
        <f>SUM(L68:O68)</f>
        <v>#DIV/0!</v>
      </c>
      <c r="L68" s="304" t="e">
        <f>ROUND(D68*I68*12/1000,4)</f>
        <v>#DIV/0!</v>
      </c>
      <c r="M68" s="304" t="e">
        <f t="shared" si="2"/>
        <v>#DIV/0!</v>
      </c>
      <c r="N68" s="304" t="e">
        <f t="shared" si="2"/>
        <v>#DIV/0!</v>
      </c>
      <c r="O68" s="304" t="e">
        <f>ROUND(G68*J68*12/1000,4)</f>
        <v>#DIV/0!</v>
      </c>
    </row>
    <row r="69" spans="2:15" ht="12.75">
      <c r="B69" s="342" t="s">
        <v>197</v>
      </c>
      <c r="C69" s="343">
        <f>C58</f>
        <v>0</v>
      </c>
      <c r="D69" s="343">
        <v>75</v>
      </c>
      <c r="E69" s="343">
        <f t="shared" si="1"/>
        <v>-75</v>
      </c>
      <c r="F69" s="343"/>
      <c r="G69" s="343">
        <f>C69-F69</f>
        <v>0</v>
      </c>
      <c r="H69" s="343" t="e">
        <f>C43</f>
        <v>#DIV/0!</v>
      </c>
      <c r="I69" s="343" t="e">
        <f>H69-J69</f>
        <v>#DIV/0!</v>
      </c>
      <c r="J69" s="343" t="e">
        <f>ROUND(H69*$E$51,0)</f>
        <v>#DIV/0!</v>
      </c>
      <c r="K69" s="303" t="e">
        <f>SUM(L69:O69)</f>
        <v>#DIV/0!</v>
      </c>
      <c r="L69" s="304" t="e">
        <f>ROUND(D69*I69*12/1000,4)</f>
        <v>#DIV/0!</v>
      </c>
      <c r="M69" s="304" t="e">
        <f t="shared" si="2"/>
        <v>#DIV/0!</v>
      </c>
      <c r="N69" s="304" t="e">
        <f t="shared" si="2"/>
        <v>#DIV/0!</v>
      </c>
      <c r="O69" s="304" t="e">
        <f>ROUND(G69*J69*12/1000,4)</f>
        <v>#DIV/0!</v>
      </c>
    </row>
    <row r="70" spans="1:15" s="263" customFormat="1" ht="12.75">
      <c r="A70" s="321"/>
      <c r="B70" s="338" t="s">
        <v>240</v>
      </c>
      <c r="C70" s="339" t="e">
        <f>ROUND(K70/H70/12*1000,8)</f>
        <v>#DIV/0!</v>
      </c>
      <c r="D70" s="340"/>
      <c r="E70" s="339"/>
      <c r="F70" s="339"/>
      <c r="G70" s="340"/>
      <c r="H70" s="340" t="e">
        <f aca="true" t="shared" si="3" ref="H70:O70">SUM(H71:H74)</f>
        <v>#DIV/0!</v>
      </c>
      <c r="I70" s="340" t="e">
        <f t="shared" si="3"/>
        <v>#DIV/0!</v>
      </c>
      <c r="J70" s="340" t="e">
        <f t="shared" si="3"/>
        <v>#DIV/0!</v>
      </c>
      <c r="K70" s="341" t="e">
        <f t="shared" si="3"/>
        <v>#DIV/0!</v>
      </c>
      <c r="L70" s="341" t="e">
        <f t="shared" si="3"/>
        <v>#DIV/0!</v>
      </c>
      <c r="M70" s="341" t="e">
        <f t="shared" si="3"/>
        <v>#DIV/0!</v>
      </c>
      <c r="N70" s="341" t="e">
        <f t="shared" si="3"/>
        <v>#DIV/0!</v>
      </c>
      <c r="O70" s="341" t="e">
        <f t="shared" si="3"/>
        <v>#DIV/0!</v>
      </c>
    </row>
    <row r="71" spans="2:15" ht="12.75">
      <c r="B71" s="342" t="s">
        <v>239</v>
      </c>
      <c r="C71" s="343">
        <f>D55</f>
        <v>0</v>
      </c>
      <c r="D71" s="343">
        <v>75</v>
      </c>
      <c r="E71" s="343">
        <f t="shared" si="1"/>
        <v>-75</v>
      </c>
      <c r="F71" s="343"/>
      <c r="G71" s="343">
        <f>C71-F71</f>
        <v>0</v>
      </c>
      <c r="H71" s="343" t="e">
        <f>C32</f>
        <v>#DIV/0!</v>
      </c>
      <c r="I71" s="343" t="e">
        <f>H71-J71</f>
        <v>#DIV/0!</v>
      </c>
      <c r="J71" s="343" t="e">
        <f>ROUND(H71*$E$48,0)</f>
        <v>#DIV/0!</v>
      </c>
      <c r="K71" s="303" t="e">
        <f>SUM(L71:O71)</f>
        <v>#DIV/0!</v>
      </c>
      <c r="L71" s="304" t="e">
        <f>ROUND(D71*I71*12/1000,4)</f>
        <v>#DIV/0!</v>
      </c>
      <c r="M71" s="304" t="e">
        <f aca="true" t="shared" si="4" ref="M71:N74">ROUND(E71*I71*12/1000,4)</f>
        <v>#DIV/0!</v>
      </c>
      <c r="N71" s="304" t="e">
        <f t="shared" si="4"/>
        <v>#DIV/0!</v>
      </c>
      <c r="O71" s="304" t="e">
        <f>ROUND(G71*J71*12/1000,4)</f>
        <v>#DIV/0!</v>
      </c>
    </row>
    <row r="72" spans="2:15" ht="12.75">
      <c r="B72" s="342" t="s">
        <v>195</v>
      </c>
      <c r="C72" s="343">
        <f>D56</f>
        <v>0</v>
      </c>
      <c r="D72" s="343">
        <v>75</v>
      </c>
      <c r="E72" s="343">
        <f t="shared" si="1"/>
        <v>-75</v>
      </c>
      <c r="F72" s="343"/>
      <c r="G72" s="343">
        <f>C72-F72</f>
        <v>0</v>
      </c>
      <c r="H72" s="343" t="e">
        <f>C36</f>
        <v>#DIV/0!</v>
      </c>
      <c r="I72" s="343" t="e">
        <f>H72-J72</f>
        <v>#DIV/0!</v>
      </c>
      <c r="J72" s="343" t="e">
        <f>ROUND(H72*$E$49,0)</f>
        <v>#DIV/0!</v>
      </c>
      <c r="K72" s="303" t="e">
        <f>SUM(L72:O72)</f>
        <v>#DIV/0!</v>
      </c>
      <c r="L72" s="304" t="e">
        <f>ROUND(D72*I72*12/1000,4)</f>
        <v>#DIV/0!</v>
      </c>
      <c r="M72" s="304" t="e">
        <f t="shared" si="4"/>
        <v>#DIV/0!</v>
      </c>
      <c r="N72" s="304" t="e">
        <f t="shared" si="4"/>
        <v>#DIV/0!</v>
      </c>
      <c r="O72" s="304" t="e">
        <f>ROUND(G72*J72*12/1000,4)</f>
        <v>#DIV/0!</v>
      </c>
    </row>
    <row r="73" spans="2:15" ht="12.75">
      <c r="B73" s="342" t="s">
        <v>196</v>
      </c>
      <c r="C73" s="343">
        <f>D57</f>
        <v>0</v>
      </c>
      <c r="D73" s="343">
        <v>75</v>
      </c>
      <c r="E73" s="343">
        <f t="shared" si="1"/>
        <v>-75</v>
      </c>
      <c r="F73" s="343"/>
      <c r="G73" s="343">
        <f>C73-F73</f>
        <v>0</v>
      </c>
      <c r="H73" s="343" t="e">
        <f>C40</f>
        <v>#DIV/0!</v>
      </c>
      <c r="I73" s="343" t="e">
        <f>H73-J73</f>
        <v>#DIV/0!</v>
      </c>
      <c r="J73" s="343" t="e">
        <f>ROUND(H73*$E$50,0)</f>
        <v>#DIV/0!</v>
      </c>
      <c r="K73" s="303" t="e">
        <f>SUM(L73:O73)</f>
        <v>#DIV/0!</v>
      </c>
      <c r="L73" s="304" t="e">
        <f>ROUND(D73*I73*12/1000,4)</f>
        <v>#DIV/0!</v>
      </c>
      <c r="M73" s="304" t="e">
        <f t="shared" si="4"/>
        <v>#DIV/0!</v>
      </c>
      <c r="N73" s="304" t="e">
        <f t="shared" si="4"/>
        <v>#DIV/0!</v>
      </c>
      <c r="O73" s="304" t="e">
        <f>ROUND(G73*J73*12/1000,4)</f>
        <v>#DIV/0!</v>
      </c>
    </row>
    <row r="74" spans="2:15" ht="12.75">
      <c r="B74" s="342" t="s">
        <v>197</v>
      </c>
      <c r="C74" s="343">
        <f>D58</f>
        <v>0</v>
      </c>
      <c r="D74" s="343">
        <v>75</v>
      </c>
      <c r="E74" s="343">
        <f t="shared" si="1"/>
        <v>-75</v>
      </c>
      <c r="F74" s="343"/>
      <c r="G74" s="343">
        <f>C74-F74</f>
        <v>0</v>
      </c>
      <c r="H74" s="343" t="e">
        <f>C44</f>
        <v>#DIV/0!</v>
      </c>
      <c r="I74" s="343" t="e">
        <f>H74-J74</f>
        <v>#DIV/0!</v>
      </c>
      <c r="J74" s="343" t="e">
        <f>ROUND(H74*$E$51,0)</f>
        <v>#DIV/0!</v>
      </c>
      <c r="K74" s="303" t="e">
        <f>SUM(L74:O74)</f>
        <v>#DIV/0!</v>
      </c>
      <c r="L74" s="304" t="e">
        <f>ROUND(D74*I74*12/1000,4)</f>
        <v>#DIV/0!</v>
      </c>
      <c r="M74" s="304" t="e">
        <f t="shared" si="4"/>
        <v>#DIV/0!</v>
      </c>
      <c r="N74" s="304" t="e">
        <f t="shared" si="4"/>
        <v>#DIV/0!</v>
      </c>
      <c r="O74" s="304" t="e">
        <f>ROUND(G74*J74*12/1000,4)</f>
        <v>#DIV/0!</v>
      </c>
    </row>
    <row r="75" spans="1:15" s="263" customFormat="1" ht="12.75">
      <c r="A75" s="321"/>
      <c r="B75" s="338" t="s">
        <v>241</v>
      </c>
      <c r="C75" s="339" t="e">
        <f>ROUND(K75/H75/12*1000,8)</f>
        <v>#DIV/0!</v>
      </c>
      <c r="D75" s="340"/>
      <c r="E75" s="339"/>
      <c r="F75" s="340"/>
      <c r="G75" s="340"/>
      <c r="H75" s="340" t="e">
        <f aca="true" t="shared" si="5" ref="H75:O75">SUM(H76:H79)</f>
        <v>#DIV/0!</v>
      </c>
      <c r="I75" s="340" t="e">
        <f t="shared" si="5"/>
        <v>#DIV/0!</v>
      </c>
      <c r="J75" s="340" t="e">
        <f t="shared" si="5"/>
        <v>#DIV/0!</v>
      </c>
      <c r="K75" s="341" t="e">
        <f t="shared" si="5"/>
        <v>#DIV/0!</v>
      </c>
      <c r="L75" s="341" t="e">
        <f t="shared" si="5"/>
        <v>#DIV/0!</v>
      </c>
      <c r="M75" s="341" t="e">
        <f t="shared" si="5"/>
        <v>#DIV/0!</v>
      </c>
      <c r="N75" s="341" t="e">
        <f t="shared" si="5"/>
        <v>#DIV/0!</v>
      </c>
      <c r="O75" s="341" t="e">
        <f t="shared" si="5"/>
        <v>#DIV/0!</v>
      </c>
    </row>
    <row r="76" spans="2:15" ht="12.75">
      <c r="B76" s="342" t="s">
        <v>239</v>
      </c>
      <c r="C76" s="343">
        <f>E55</f>
        <v>0</v>
      </c>
      <c r="D76" s="343">
        <v>75</v>
      </c>
      <c r="E76" s="343">
        <f t="shared" si="1"/>
        <v>-75</v>
      </c>
      <c r="F76" s="343"/>
      <c r="G76" s="343">
        <f>C76-F76</f>
        <v>0</v>
      </c>
      <c r="H76" s="343" t="e">
        <f>C33</f>
        <v>#DIV/0!</v>
      </c>
      <c r="I76" s="343" t="e">
        <f>H76-J76</f>
        <v>#DIV/0!</v>
      </c>
      <c r="J76" s="343" t="e">
        <f>C48-J66-J71</f>
        <v>#DIV/0!</v>
      </c>
      <c r="K76" s="303" t="e">
        <f>SUM(L76:O76)</f>
        <v>#DIV/0!</v>
      </c>
      <c r="L76" s="304" t="e">
        <f>ROUND(D76*I76*12/1000,4)</f>
        <v>#DIV/0!</v>
      </c>
      <c r="M76" s="304" t="e">
        <f aca="true" t="shared" si="6" ref="M76:N79">ROUND(E76*I76*12/1000,4)</f>
        <v>#DIV/0!</v>
      </c>
      <c r="N76" s="304" t="e">
        <f t="shared" si="6"/>
        <v>#DIV/0!</v>
      </c>
      <c r="O76" s="304" t="e">
        <f>ROUND(G76*J76*12/1000,4)</f>
        <v>#DIV/0!</v>
      </c>
    </row>
    <row r="77" spans="2:15" ht="12.75">
      <c r="B77" s="342" t="s">
        <v>195</v>
      </c>
      <c r="C77" s="343">
        <f>E56</f>
        <v>0</v>
      </c>
      <c r="D77" s="343">
        <v>75</v>
      </c>
      <c r="E77" s="343">
        <f t="shared" si="1"/>
        <v>-75</v>
      </c>
      <c r="F77" s="343"/>
      <c r="G77" s="343">
        <f>C77-F77</f>
        <v>0</v>
      </c>
      <c r="H77" s="343" t="e">
        <f>C37</f>
        <v>#DIV/0!</v>
      </c>
      <c r="I77" s="343" t="e">
        <f>H77-J77</f>
        <v>#DIV/0!</v>
      </c>
      <c r="J77" s="343" t="e">
        <f>C49-J67-J72</f>
        <v>#DIV/0!</v>
      </c>
      <c r="K77" s="303" t="e">
        <f>SUM(L77:O77)</f>
        <v>#DIV/0!</v>
      </c>
      <c r="L77" s="304" t="e">
        <f>ROUND(D77*I77*12/1000,4)</f>
        <v>#DIV/0!</v>
      </c>
      <c r="M77" s="304" t="e">
        <f t="shared" si="6"/>
        <v>#DIV/0!</v>
      </c>
      <c r="N77" s="304" t="e">
        <f t="shared" si="6"/>
        <v>#DIV/0!</v>
      </c>
      <c r="O77" s="304" t="e">
        <f>ROUND(G77*J77*12/1000,4)</f>
        <v>#DIV/0!</v>
      </c>
    </row>
    <row r="78" spans="2:15" ht="12.75">
      <c r="B78" s="342" t="s">
        <v>196</v>
      </c>
      <c r="C78" s="343">
        <f>E57</f>
        <v>0</v>
      </c>
      <c r="D78" s="343">
        <v>75</v>
      </c>
      <c r="E78" s="343">
        <f t="shared" si="1"/>
        <v>-75</v>
      </c>
      <c r="F78" s="343"/>
      <c r="G78" s="343">
        <f>C78-F78</f>
        <v>0</v>
      </c>
      <c r="H78" s="343" t="e">
        <f>C41</f>
        <v>#DIV/0!</v>
      </c>
      <c r="I78" s="343" t="e">
        <f>H78-J78</f>
        <v>#DIV/0!</v>
      </c>
      <c r="J78" s="343" t="e">
        <f>C50-J68-J73</f>
        <v>#DIV/0!</v>
      </c>
      <c r="K78" s="303" t="e">
        <f>SUM(L78:O78)</f>
        <v>#DIV/0!</v>
      </c>
      <c r="L78" s="304" t="e">
        <f>ROUND(D78*I78*12/1000,4)</f>
        <v>#DIV/0!</v>
      </c>
      <c r="M78" s="304" t="e">
        <f t="shared" si="6"/>
        <v>#DIV/0!</v>
      </c>
      <c r="N78" s="304" t="e">
        <f t="shared" si="6"/>
        <v>#DIV/0!</v>
      </c>
      <c r="O78" s="304" t="e">
        <f>ROUND(G78*J78*12/1000,4)</f>
        <v>#DIV/0!</v>
      </c>
    </row>
    <row r="79" spans="2:15" ht="12.75">
      <c r="B79" s="342" t="s">
        <v>197</v>
      </c>
      <c r="C79" s="343">
        <f>E58</f>
        <v>0</v>
      </c>
      <c r="D79" s="343">
        <v>75</v>
      </c>
      <c r="E79" s="343">
        <f t="shared" si="1"/>
        <v>-75</v>
      </c>
      <c r="F79" s="343"/>
      <c r="G79" s="343">
        <f>C79-F79</f>
        <v>0</v>
      </c>
      <c r="H79" s="343" t="e">
        <f>C45</f>
        <v>#DIV/0!</v>
      </c>
      <c r="I79" s="343" t="e">
        <f>H79-J79</f>
        <v>#DIV/0!</v>
      </c>
      <c r="J79" s="343" t="e">
        <f>C51-J69-J74</f>
        <v>#DIV/0!</v>
      </c>
      <c r="K79" s="303" t="e">
        <f>SUM(L79:O79)</f>
        <v>#DIV/0!</v>
      </c>
      <c r="L79" s="304" t="e">
        <f>ROUND(D79*I79*12/1000,4)</f>
        <v>#DIV/0!</v>
      </c>
      <c r="M79" s="304" t="e">
        <f t="shared" si="6"/>
        <v>#DIV/0!</v>
      </c>
      <c r="N79" s="304" t="e">
        <f t="shared" si="6"/>
        <v>#DIV/0!</v>
      </c>
      <c r="O79" s="304" t="e">
        <f>ROUND(G79*J79*12/1000,4)</f>
        <v>#DIV/0!</v>
      </c>
    </row>
  </sheetData>
  <sheetProtection/>
  <mergeCells count="23">
    <mergeCell ref="L62:O62"/>
    <mergeCell ref="D63:E63"/>
    <mergeCell ref="F63:G63"/>
    <mergeCell ref="I63:I64"/>
    <mergeCell ref="J63:J64"/>
    <mergeCell ref="L63:M63"/>
    <mergeCell ref="N63:O63"/>
    <mergeCell ref="E44:E45"/>
    <mergeCell ref="B61:B64"/>
    <mergeCell ref="C61:G61"/>
    <mergeCell ref="H61:J61"/>
    <mergeCell ref="K61:O61"/>
    <mergeCell ref="C62:C64"/>
    <mergeCell ref="D62:G62"/>
    <mergeCell ref="H62:H64"/>
    <mergeCell ref="I62:J62"/>
    <mergeCell ref="K62:K64"/>
    <mergeCell ref="A1:H1"/>
    <mergeCell ref="C2:E2"/>
    <mergeCell ref="C3:E3"/>
    <mergeCell ref="E32:E33"/>
    <mergeCell ref="E36:E37"/>
    <mergeCell ref="E40:E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85" zoomScaleNormal="85" zoomScaleSheetLayoutView="80" zoomScalePageLayoutView="0" workbookViewId="0" topLeftCell="A1">
      <selection activeCell="S34" sqref="S34"/>
    </sheetView>
  </sheetViews>
  <sheetFormatPr defaultColWidth="9.00390625" defaultRowHeight="12.75"/>
  <cols>
    <col min="1" max="1" width="4.75390625" style="344" customWidth="1"/>
    <col min="2" max="2" width="24.125" style="344" customWidth="1"/>
    <col min="3" max="3" width="9.25390625" style="344" customWidth="1"/>
    <col min="4" max="4" width="11.25390625" style="344" customWidth="1"/>
    <col min="5" max="5" width="11.00390625" style="344" customWidth="1"/>
    <col min="6" max="6" width="10.375" style="345" customWidth="1"/>
    <col min="7" max="7" width="9.875" style="345" customWidth="1"/>
    <col min="8" max="8" width="10.00390625" style="345" customWidth="1"/>
    <col min="9" max="9" width="11.00390625" style="345" customWidth="1"/>
    <col min="10" max="10" width="10.125" style="345" customWidth="1"/>
    <col min="11" max="11" width="10.75390625" style="345" customWidth="1"/>
    <col min="12" max="12" width="10.25390625" style="345" customWidth="1"/>
    <col min="13" max="13" width="10.875" style="345" customWidth="1"/>
    <col min="14" max="14" width="10.25390625" style="345" customWidth="1"/>
    <col min="15" max="16" width="10.375" style="344" bestFit="1" customWidth="1"/>
    <col min="17" max="17" width="8.875" style="344" customWidth="1"/>
    <col min="18" max="18" width="8.375" style="344" customWidth="1"/>
    <col min="19" max="21" width="10.375" style="344" bestFit="1" customWidth="1"/>
    <col min="22" max="22" width="9.25390625" style="344" bestFit="1" customWidth="1"/>
    <col min="23" max="16384" width="9.125" style="344" customWidth="1"/>
  </cols>
  <sheetData>
    <row r="1" ht="12.75">
      <c r="V1" s="346" t="s">
        <v>245</v>
      </c>
    </row>
    <row r="2" spans="1:21" s="347" customFormat="1" ht="15.75">
      <c r="A2" s="598" t="s">
        <v>307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</row>
    <row r="3" spans="1:22" s="347" customFormat="1" ht="15.75">
      <c r="A3" s="348"/>
      <c r="B3" s="599" t="s">
        <v>246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348"/>
    </row>
    <row r="4" spans="1:22" s="347" customFormat="1" ht="15.75">
      <c r="A4" s="348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8"/>
    </row>
    <row r="5" spans="1:22" s="350" customFormat="1" ht="12.75" customHeight="1">
      <c r="A5" s="597" t="s">
        <v>55</v>
      </c>
      <c r="B5" s="597" t="s">
        <v>247</v>
      </c>
      <c r="C5" s="600" t="s">
        <v>64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</row>
    <row r="6" spans="1:22" s="350" customFormat="1" ht="41.25" customHeight="1">
      <c r="A6" s="597"/>
      <c r="B6" s="597"/>
      <c r="C6" s="601" t="s">
        <v>248</v>
      </c>
      <c r="D6" s="602"/>
      <c r="E6" s="603"/>
      <c r="F6" s="596" t="s">
        <v>228</v>
      </c>
      <c r="G6" s="596"/>
      <c r="H6" s="596"/>
      <c r="I6" s="596"/>
      <c r="J6" s="596"/>
      <c r="K6" s="596" t="s">
        <v>229</v>
      </c>
      <c r="L6" s="596"/>
      <c r="M6" s="596"/>
      <c r="N6" s="596" t="s">
        <v>249</v>
      </c>
      <c r="O6" s="596"/>
      <c r="P6" s="596"/>
      <c r="Q6" s="596"/>
      <c r="R6" s="596"/>
      <c r="S6" s="596" t="s">
        <v>250</v>
      </c>
      <c r="T6" s="596"/>
      <c r="U6" s="596"/>
      <c r="V6" s="608" t="s">
        <v>251</v>
      </c>
    </row>
    <row r="7" spans="1:22" s="350" customFormat="1" ht="12">
      <c r="A7" s="597"/>
      <c r="B7" s="597"/>
      <c r="C7" s="604"/>
      <c r="D7" s="605"/>
      <c r="E7" s="606"/>
      <c r="F7" s="597" t="s">
        <v>231</v>
      </c>
      <c r="G7" s="597" t="s">
        <v>232</v>
      </c>
      <c r="H7" s="597"/>
      <c r="I7" s="597"/>
      <c r="J7" s="597"/>
      <c r="K7" s="597" t="s">
        <v>231</v>
      </c>
      <c r="L7" s="597" t="s">
        <v>233</v>
      </c>
      <c r="M7" s="597"/>
      <c r="N7" s="597" t="s">
        <v>252</v>
      </c>
      <c r="O7" s="597" t="s">
        <v>232</v>
      </c>
      <c r="P7" s="597"/>
      <c r="Q7" s="597"/>
      <c r="R7" s="597"/>
      <c r="S7" s="597" t="s">
        <v>231</v>
      </c>
      <c r="T7" s="597" t="s">
        <v>233</v>
      </c>
      <c r="U7" s="597"/>
      <c r="V7" s="609"/>
    </row>
    <row r="8" spans="1:22" s="350" customFormat="1" ht="23.25" customHeight="1">
      <c r="A8" s="597"/>
      <c r="B8" s="597"/>
      <c r="C8" s="608" t="s">
        <v>253</v>
      </c>
      <c r="D8" s="610" t="s">
        <v>232</v>
      </c>
      <c r="E8" s="611"/>
      <c r="F8" s="597"/>
      <c r="G8" s="597" t="s">
        <v>234</v>
      </c>
      <c r="H8" s="597"/>
      <c r="I8" s="597" t="s">
        <v>235</v>
      </c>
      <c r="J8" s="597"/>
      <c r="K8" s="597"/>
      <c r="L8" s="607" t="s">
        <v>234</v>
      </c>
      <c r="M8" s="607" t="s">
        <v>235</v>
      </c>
      <c r="N8" s="597"/>
      <c r="O8" s="597" t="s">
        <v>234</v>
      </c>
      <c r="P8" s="597"/>
      <c r="Q8" s="597" t="s">
        <v>235</v>
      </c>
      <c r="R8" s="597"/>
      <c r="S8" s="597"/>
      <c r="T8" s="607" t="s">
        <v>234</v>
      </c>
      <c r="U8" s="607" t="s">
        <v>235</v>
      </c>
      <c r="V8" s="609"/>
    </row>
    <row r="9" spans="1:22" s="350" customFormat="1" ht="52.5" customHeight="1">
      <c r="A9" s="597"/>
      <c r="B9" s="597"/>
      <c r="C9" s="596"/>
      <c r="D9" s="351" t="s">
        <v>254</v>
      </c>
      <c r="E9" s="351" t="s">
        <v>255</v>
      </c>
      <c r="F9" s="597"/>
      <c r="G9" s="351" t="s">
        <v>236</v>
      </c>
      <c r="H9" s="351" t="s">
        <v>237</v>
      </c>
      <c r="I9" s="351" t="s">
        <v>236</v>
      </c>
      <c r="J9" s="351" t="s">
        <v>237</v>
      </c>
      <c r="K9" s="597"/>
      <c r="L9" s="607"/>
      <c r="M9" s="607"/>
      <c r="N9" s="597"/>
      <c r="O9" s="351" t="s">
        <v>256</v>
      </c>
      <c r="P9" s="351" t="s">
        <v>257</v>
      </c>
      <c r="Q9" s="351" t="s">
        <v>256</v>
      </c>
      <c r="R9" s="351" t="s">
        <v>257</v>
      </c>
      <c r="S9" s="597"/>
      <c r="T9" s="607"/>
      <c r="U9" s="607"/>
      <c r="V9" s="596"/>
    </row>
    <row r="10" spans="1:22" s="354" customFormat="1" ht="10.5" customHeight="1">
      <c r="A10" s="352"/>
      <c r="B10" s="353">
        <v>1</v>
      </c>
      <c r="C10" s="353">
        <f>B10+1</f>
        <v>2</v>
      </c>
      <c r="D10" s="353">
        <f aca="true" t="shared" si="0" ref="D10:V10">C10+1</f>
        <v>3</v>
      </c>
      <c r="E10" s="353">
        <f t="shared" si="0"/>
        <v>4</v>
      </c>
      <c r="F10" s="353">
        <f t="shared" si="0"/>
        <v>5</v>
      </c>
      <c r="G10" s="353">
        <f t="shared" si="0"/>
        <v>6</v>
      </c>
      <c r="H10" s="353">
        <f t="shared" si="0"/>
        <v>7</v>
      </c>
      <c r="I10" s="353">
        <f t="shared" si="0"/>
        <v>8</v>
      </c>
      <c r="J10" s="353">
        <f t="shared" si="0"/>
        <v>9</v>
      </c>
      <c r="K10" s="353">
        <f t="shared" si="0"/>
        <v>10</v>
      </c>
      <c r="L10" s="353">
        <f t="shared" si="0"/>
        <v>11</v>
      </c>
      <c r="M10" s="353">
        <f t="shared" si="0"/>
        <v>12</v>
      </c>
      <c r="N10" s="353">
        <f t="shared" si="0"/>
        <v>13</v>
      </c>
      <c r="O10" s="353">
        <f t="shared" si="0"/>
        <v>14</v>
      </c>
      <c r="P10" s="353">
        <f t="shared" si="0"/>
        <v>15</v>
      </c>
      <c r="Q10" s="353">
        <f t="shared" si="0"/>
        <v>16</v>
      </c>
      <c r="R10" s="353">
        <f t="shared" si="0"/>
        <v>17</v>
      </c>
      <c r="S10" s="353">
        <f t="shared" si="0"/>
        <v>18</v>
      </c>
      <c r="T10" s="353">
        <f t="shared" si="0"/>
        <v>19</v>
      </c>
      <c r="U10" s="353">
        <f t="shared" si="0"/>
        <v>20</v>
      </c>
      <c r="V10" s="353">
        <f t="shared" si="0"/>
        <v>21</v>
      </c>
    </row>
    <row r="11" spans="1:22" s="355" customFormat="1" ht="36">
      <c r="A11" s="356" t="s">
        <v>181</v>
      </c>
      <c r="B11" s="357" t="s">
        <v>258</v>
      </c>
      <c r="C11" s="358" t="e">
        <f>ROUND(S11/N11,8)</f>
        <v>#DIV/0!</v>
      </c>
      <c r="D11" s="359"/>
      <c r="E11" s="359"/>
      <c r="F11" s="360"/>
      <c r="G11" s="361"/>
      <c r="H11" s="361">
        <f>F11-G11</f>
        <v>0</v>
      </c>
      <c r="I11" s="361"/>
      <c r="J11" s="361">
        <f>F11-I11</f>
        <v>0</v>
      </c>
      <c r="K11" s="358"/>
      <c r="L11" s="358"/>
      <c r="M11" s="358">
        <f>K11-L11</f>
        <v>0</v>
      </c>
      <c r="N11" s="362">
        <f>O11+P11+Q11+R11</f>
        <v>0</v>
      </c>
      <c r="O11" s="363">
        <f>ROUND(G11*L11*6/1000,4)</f>
        <v>0</v>
      </c>
      <c r="P11" s="363">
        <f>ROUND(H11*L11*6/1000,4)</f>
        <v>0</v>
      </c>
      <c r="Q11" s="363">
        <f>ROUND(I11*M11*6/1000,4)</f>
        <v>0</v>
      </c>
      <c r="R11" s="363">
        <f>ROUND(J11*M11*6/1000,4)</f>
        <v>0</v>
      </c>
      <c r="S11" s="364">
        <f>T11+U11</f>
        <v>0</v>
      </c>
      <c r="T11" s="364">
        <f>ROUND(D11*O11+E11*P11,1)</f>
        <v>0</v>
      </c>
      <c r="U11" s="364">
        <f>ROUND(D11*Q11+E11*R11,1)</f>
        <v>0</v>
      </c>
      <c r="V11" s="365"/>
    </row>
    <row r="12" spans="1:22" s="355" customFormat="1" ht="56.25" customHeight="1">
      <c r="A12" s="356" t="s">
        <v>189</v>
      </c>
      <c r="B12" s="357" t="s">
        <v>259</v>
      </c>
      <c r="C12" s="358" t="e">
        <f>ROUND(S12/N12,8)</f>
        <v>#DIV/0!</v>
      </c>
      <c r="D12" s="359"/>
      <c r="E12" s="359"/>
      <c r="F12" s="366" t="e">
        <f>ROUND(N12/K12/6*1000,1)</f>
        <v>#DIV/0!</v>
      </c>
      <c r="G12" s="361"/>
      <c r="H12" s="364" t="e">
        <f>F12-G12</f>
        <v>#DIV/0!</v>
      </c>
      <c r="I12" s="358"/>
      <c r="J12" s="364" t="e">
        <f>F12-I12</f>
        <v>#DIV/0!</v>
      </c>
      <c r="K12" s="367">
        <f>K13+K14</f>
        <v>0</v>
      </c>
      <c r="L12" s="367">
        <f>L13+L14</f>
        <v>0</v>
      </c>
      <c r="M12" s="358">
        <f>K12-L12</f>
        <v>0</v>
      </c>
      <c r="N12" s="362">
        <f aca="true" t="shared" si="1" ref="N12:V12">N13+N14</f>
        <v>0</v>
      </c>
      <c r="O12" s="362">
        <f t="shared" si="1"/>
        <v>0</v>
      </c>
      <c r="P12" s="362">
        <f t="shared" si="1"/>
        <v>0</v>
      </c>
      <c r="Q12" s="362">
        <f t="shared" si="1"/>
        <v>0</v>
      </c>
      <c r="R12" s="362">
        <f t="shared" si="1"/>
        <v>0</v>
      </c>
      <c r="S12" s="364">
        <f t="shared" si="1"/>
        <v>0</v>
      </c>
      <c r="T12" s="364">
        <f t="shared" si="1"/>
        <v>0</v>
      </c>
      <c r="U12" s="364">
        <f t="shared" si="1"/>
        <v>0</v>
      </c>
      <c r="V12" s="364">
        <f t="shared" si="1"/>
        <v>0</v>
      </c>
    </row>
    <row r="13" spans="1:22" s="377" customFormat="1" ht="24">
      <c r="A13" s="368" t="s">
        <v>9</v>
      </c>
      <c r="B13" s="369" t="s">
        <v>260</v>
      </c>
      <c r="C13" s="370" t="e">
        <f>ROUND(S13/N13,8)</f>
        <v>#DIV/0!</v>
      </c>
      <c r="D13" s="359"/>
      <c r="E13" s="359"/>
      <c r="F13" s="371"/>
      <c r="G13" s="371"/>
      <c r="H13" s="372">
        <f>F13-G13</f>
        <v>0</v>
      </c>
      <c r="I13" s="372"/>
      <c r="J13" s="372">
        <f>F13-I13</f>
        <v>0</v>
      </c>
      <c r="K13" s="370"/>
      <c r="L13" s="370"/>
      <c r="M13" s="370">
        <f>K13-L13</f>
        <v>0</v>
      </c>
      <c r="N13" s="373">
        <f>O13+P13+Q13+R13</f>
        <v>0</v>
      </c>
      <c r="O13" s="374">
        <f>ROUND(G13*L13*6/1000,4)</f>
        <v>0</v>
      </c>
      <c r="P13" s="374">
        <f>ROUND(H13*L13*6/1000,4)</f>
        <v>0</v>
      </c>
      <c r="Q13" s="374">
        <f>ROUND(I13*M13*6/1000,4)</f>
        <v>0</v>
      </c>
      <c r="R13" s="374">
        <f>ROUND(J13*M13*6/1000,4)</f>
        <v>0</v>
      </c>
      <c r="S13" s="375">
        <f>T13+U13</f>
        <v>0</v>
      </c>
      <c r="T13" s="375">
        <f>ROUND(D13*O13+E13*P13,1)</f>
        <v>0</v>
      </c>
      <c r="U13" s="375">
        <f>ROUND(D13*Q13+E13*R13,1)</f>
        <v>0</v>
      </c>
      <c r="V13" s="376"/>
    </row>
    <row r="14" spans="1:22" s="377" customFormat="1" ht="24.75" thickBot="1">
      <c r="A14" s="378" t="s">
        <v>11</v>
      </c>
      <c r="B14" s="369" t="s">
        <v>261</v>
      </c>
      <c r="C14" s="370" t="e">
        <f>ROUND(S14/N14,8)</f>
        <v>#DIV/0!</v>
      </c>
      <c r="D14" s="359"/>
      <c r="E14" s="359"/>
      <c r="F14" s="375"/>
      <c r="G14" s="375"/>
      <c r="H14" s="375">
        <f>F14-G14</f>
        <v>0</v>
      </c>
      <c r="I14" s="375"/>
      <c r="J14" s="375">
        <f>F14-I14</f>
        <v>0</v>
      </c>
      <c r="K14" s="370"/>
      <c r="L14" s="370"/>
      <c r="M14" s="370">
        <f>K14-L14</f>
        <v>0</v>
      </c>
      <c r="N14" s="373">
        <f>O14+P14+Q14+R14</f>
        <v>0</v>
      </c>
      <c r="O14" s="374">
        <f>ROUND(G14*L14*6/1000,4)</f>
        <v>0</v>
      </c>
      <c r="P14" s="374">
        <f>ROUND(H14*L14*6/1000,4)</f>
        <v>0</v>
      </c>
      <c r="Q14" s="374">
        <f>ROUND(I14*M14*6/1000,4)</f>
        <v>0</v>
      </c>
      <c r="R14" s="374">
        <f>ROUND(J14*M14*6/1000,4)</f>
        <v>0</v>
      </c>
      <c r="S14" s="375">
        <f>T14+U14</f>
        <v>0</v>
      </c>
      <c r="T14" s="375">
        <f>ROUND(D14*O14+E14*P14,1)</f>
        <v>0</v>
      </c>
      <c r="U14" s="375">
        <f>ROUND(D14*Q14+E14*R14,1)</f>
        <v>0</v>
      </c>
      <c r="V14" s="379"/>
    </row>
    <row r="15" spans="1:22" s="355" customFormat="1" ht="29.25" customHeight="1" thickBot="1">
      <c r="A15" s="612" t="s">
        <v>78</v>
      </c>
      <c r="B15" s="613"/>
      <c r="C15" s="380" t="e">
        <f>ROUND(S15/N15,4)</f>
        <v>#DIV/0!</v>
      </c>
      <c r="D15" s="381"/>
      <c r="E15" s="382"/>
      <c r="F15" s="383" t="e">
        <f>ROUND(N15/K15/6*1000,1)</f>
        <v>#DIV/0!</v>
      </c>
      <c r="G15" s="384" t="e">
        <f>ROUND(O15/L15/6*1000,1)</f>
        <v>#DIV/0!</v>
      </c>
      <c r="H15" s="384" t="e">
        <f>ROUND(P15/L15/6*1000,1)</f>
        <v>#DIV/0!</v>
      </c>
      <c r="I15" s="384" t="e">
        <f>ROUND(Q15/M15/6*1000,1)</f>
        <v>#DIV/0!</v>
      </c>
      <c r="J15" s="384" t="e">
        <f>ROUND(R15/M15/6*1000,1)</f>
        <v>#DIV/0!</v>
      </c>
      <c r="K15" s="385">
        <f>SUM(K11:K12)</f>
        <v>0</v>
      </c>
      <c r="L15" s="385">
        <f>SUM(L11:L12)</f>
        <v>0</v>
      </c>
      <c r="M15" s="385">
        <f>SUM(M11:M12)</f>
        <v>0</v>
      </c>
      <c r="N15" s="386">
        <f>SUM(N11:N12)</f>
        <v>0</v>
      </c>
      <c r="O15" s="386">
        <f aca="true" t="shared" si="2" ref="O15:V15">SUM(O11:O12)</f>
        <v>0</v>
      </c>
      <c r="P15" s="386">
        <f t="shared" si="2"/>
        <v>0</v>
      </c>
      <c r="Q15" s="386">
        <f t="shared" si="2"/>
        <v>0</v>
      </c>
      <c r="R15" s="386">
        <f t="shared" si="2"/>
        <v>0</v>
      </c>
      <c r="S15" s="387">
        <f t="shared" si="2"/>
        <v>0</v>
      </c>
      <c r="T15" s="388">
        <f t="shared" si="2"/>
        <v>0</v>
      </c>
      <c r="U15" s="388">
        <f t="shared" si="2"/>
        <v>0</v>
      </c>
      <c r="V15" s="388">
        <f t="shared" si="2"/>
        <v>0</v>
      </c>
    </row>
    <row r="16" ht="27" customHeight="1"/>
    <row r="17" spans="1:22" s="350" customFormat="1" ht="19.5" customHeight="1">
      <c r="A17" s="597" t="s">
        <v>55</v>
      </c>
      <c r="B17" s="597" t="s">
        <v>247</v>
      </c>
      <c r="C17" s="614" t="s">
        <v>262</v>
      </c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6"/>
    </row>
    <row r="18" spans="1:22" s="350" customFormat="1" ht="38.25" customHeight="1">
      <c r="A18" s="597"/>
      <c r="B18" s="597"/>
      <c r="C18" s="601" t="s">
        <v>248</v>
      </c>
      <c r="D18" s="602"/>
      <c r="E18" s="603"/>
      <c r="F18" s="596" t="s">
        <v>228</v>
      </c>
      <c r="G18" s="596"/>
      <c r="H18" s="596"/>
      <c r="I18" s="596"/>
      <c r="J18" s="596"/>
      <c r="K18" s="596" t="s">
        <v>229</v>
      </c>
      <c r="L18" s="596"/>
      <c r="M18" s="596"/>
      <c r="N18" s="596" t="s">
        <v>249</v>
      </c>
      <c r="O18" s="596"/>
      <c r="P18" s="596"/>
      <c r="Q18" s="596"/>
      <c r="R18" s="596"/>
      <c r="S18" s="596" t="s">
        <v>250</v>
      </c>
      <c r="T18" s="596"/>
      <c r="U18" s="596"/>
      <c r="V18" s="608" t="s">
        <v>251</v>
      </c>
    </row>
    <row r="19" spans="1:22" s="350" customFormat="1" ht="12" customHeight="1">
      <c r="A19" s="597"/>
      <c r="B19" s="597"/>
      <c r="C19" s="604"/>
      <c r="D19" s="605"/>
      <c r="E19" s="606"/>
      <c r="F19" s="597" t="s">
        <v>231</v>
      </c>
      <c r="G19" s="597" t="s">
        <v>232</v>
      </c>
      <c r="H19" s="597"/>
      <c r="I19" s="597"/>
      <c r="J19" s="597"/>
      <c r="K19" s="597" t="s">
        <v>231</v>
      </c>
      <c r="L19" s="597" t="s">
        <v>233</v>
      </c>
      <c r="M19" s="597"/>
      <c r="N19" s="597" t="s">
        <v>231</v>
      </c>
      <c r="O19" s="597" t="s">
        <v>232</v>
      </c>
      <c r="P19" s="597"/>
      <c r="Q19" s="597"/>
      <c r="R19" s="597"/>
      <c r="S19" s="597" t="s">
        <v>231</v>
      </c>
      <c r="T19" s="597" t="s">
        <v>233</v>
      </c>
      <c r="U19" s="597"/>
      <c r="V19" s="609"/>
    </row>
    <row r="20" spans="1:22" s="350" customFormat="1" ht="23.25" customHeight="1">
      <c r="A20" s="597"/>
      <c r="B20" s="597"/>
      <c r="C20" s="608" t="s">
        <v>263</v>
      </c>
      <c r="D20" s="610" t="s">
        <v>232</v>
      </c>
      <c r="E20" s="611"/>
      <c r="F20" s="597"/>
      <c r="G20" s="597" t="s">
        <v>234</v>
      </c>
      <c r="H20" s="597"/>
      <c r="I20" s="597" t="s">
        <v>235</v>
      </c>
      <c r="J20" s="597"/>
      <c r="K20" s="597"/>
      <c r="L20" s="607" t="s">
        <v>234</v>
      </c>
      <c r="M20" s="607" t="s">
        <v>235</v>
      </c>
      <c r="N20" s="597"/>
      <c r="O20" s="597" t="s">
        <v>234</v>
      </c>
      <c r="P20" s="597"/>
      <c r="Q20" s="597" t="s">
        <v>235</v>
      </c>
      <c r="R20" s="597"/>
      <c r="S20" s="597"/>
      <c r="T20" s="607" t="s">
        <v>234</v>
      </c>
      <c r="U20" s="607" t="s">
        <v>235</v>
      </c>
      <c r="V20" s="609"/>
    </row>
    <row r="21" spans="1:22" s="350" customFormat="1" ht="47.25" customHeight="1">
      <c r="A21" s="597"/>
      <c r="B21" s="597"/>
      <c r="C21" s="596"/>
      <c r="D21" s="351" t="s">
        <v>254</v>
      </c>
      <c r="E21" s="351" t="s">
        <v>255</v>
      </c>
      <c r="F21" s="597"/>
      <c r="G21" s="351" t="s">
        <v>236</v>
      </c>
      <c r="H21" s="351" t="s">
        <v>237</v>
      </c>
      <c r="I21" s="351" t="s">
        <v>236</v>
      </c>
      <c r="J21" s="351" t="s">
        <v>237</v>
      </c>
      <c r="K21" s="597"/>
      <c r="L21" s="607"/>
      <c r="M21" s="607"/>
      <c r="N21" s="597"/>
      <c r="O21" s="351" t="s">
        <v>236</v>
      </c>
      <c r="P21" s="351" t="s">
        <v>237</v>
      </c>
      <c r="Q21" s="351" t="s">
        <v>236</v>
      </c>
      <c r="R21" s="351" t="s">
        <v>237</v>
      </c>
      <c r="S21" s="597"/>
      <c r="T21" s="607"/>
      <c r="U21" s="607"/>
      <c r="V21" s="596"/>
    </row>
    <row r="22" spans="1:22" s="354" customFormat="1" ht="10.5" customHeight="1">
      <c r="A22" s="352"/>
      <c r="B22" s="353">
        <v>1</v>
      </c>
      <c r="C22" s="353">
        <f>B22+1</f>
        <v>2</v>
      </c>
      <c r="D22" s="353">
        <f aca="true" t="shared" si="3" ref="D22:V22">C22+1</f>
        <v>3</v>
      </c>
      <c r="E22" s="353">
        <f t="shared" si="3"/>
        <v>4</v>
      </c>
      <c r="F22" s="353">
        <f t="shared" si="3"/>
        <v>5</v>
      </c>
      <c r="G22" s="353">
        <f t="shared" si="3"/>
        <v>6</v>
      </c>
      <c r="H22" s="353">
        <f t="shared" si="3"/>
        <v>7</v>
      </c>
      <c r="I22" s="353">
        <f t="shared" si="3"/>
        <v>8</v>
      </c>
      <c r="J22" s="353">
        <f t="shared" si="3"/>
        <v>9</v>
      </c>
      <c r="K22" s="353">
        <f t="shared" si="3"/>
        <v>10</v>
      </c>
      <c r="L22" s="353">
        <f t="shared" si="3"/>
        <v>11</v>
      </c>
      <c r="M22" s="353">
        <f t="shared" si="3"/>
        <v>12</v>
      </c>
      <c r="N22" s="353">
        <f t="shared" si="3"/>
        <v>13</v>
      </c>
      <c r="O22" s="353">
        <f t="shared" si="3"/>
        <v>14</v>
      </c>
      <c r="P22" s="353">
        <f t="shared" si="3"/>
        <v>15</v>
      </c>
      <c r="Q22" s="353">
        <f t="shared" si="3"/>
        <v>16</v>
      </c>
      <c r="R22" s="353">
        <f t="shared" si="3"/>
        <v>17</v>
      </c>
      <c r="S22" s="353">
        <f t="shared" si="3"/>
        <v>18</v>
      </c>
      <c r="T22" s="353">
        <f t="shared" si="3"/>
        <v>19</v>
      </c>
      <c r="U22" s="353">
        <f t="shared" si="3"/>
        <v>20</v>
      </c>
      <c r="V22" s="353">
        <f t="shared" si="3"/>
        <v>21</v>
      </c>
    </row>
    <row r="23" spans="1:22" s="354" customFormat="1" ht="10.5" customHeight="1">
      <c r="A23" s="619" t="s">
        <v>309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</row>
    <row r="24" spans="1:22" s="391" customFormat="1" ht="36">
      <c r="A24" s="356" t="s">
        <v>181</v>
      </c>
      <c r="B24" s="357" t="s">
        <v>258</v>
      </c>
      <c r="C24" s="358" t="e">
        <v>#DIV/0!</v>
      </c>
      <c r="D24" s="359"/>
      <c r="E24" s="359"/>
      <c r="F24" s="389"/>
      <c r="G24" s="390"/>
      <c r="H24" s="390">
        <f>F24-G24</f>
        <v>0</v>
      </c>
      <c r="I24" s="390"/>
      <c r="J24" s="390">
        <f>F24-I24</f>
        <v>0</v>
      </c>
      <c r="K24" s="358"/>
      <c r="L24" s="358"/>
      <c r="M24" s="358">
        <f>K24-L24</f>
        <v>0</v>
      </c>
      <c r="N24" s="362">
        <f>O24+P24+Q24+R24</f>
        <v>0</v>
      </c>
      <c r="O24" s="363">
        <f>ROUND(G24*L24*6/1000,4)</f>
        <v>0</v>
      </c>
      <c r="P24" s="363">
        <f>ROUND(H24*L24*6/1000,4)</f>
        <v>0</v>
      </c>
      <c r="Q24" s="363">
        <f>ROUND(I24*M24*6/1000,4)</f>
        <v>0</v>
      </c>
      <c r="R24" s="363">
        <f>ROUND(J24*M24*6/1000,4)</f>
        <v>0</v>
      </c>
      <c r="S24" s="364">
        <f>T24+U24</f>
        <v>0</v>
      </c>
      <c r="T24" s="364">
        <f>ROUND(D24*O24+E24*P24,1)</f>
        <v>0</v>
      </c>
      <c r="U24" s="364">
        <f>ROUND(D24*Q24+E24*R24,1)</f>
        <v>0</v>
      </c>
      <c r="V24" s="365"/>
    </row>
    <row r="25" spans="1:22" s="391" customFormat="1" ht="48">
      <c r="A25" s="356" t="s">
        <v>189</v>
      </c>
      <c r="B25" s="357" t="s">
        <v>259</v>
      </c>
      <c r="C25" s="358" t="e">
        <v>#DIV/0!</v>
      </c>
      <c r="D25" s="359"/>
      <c r="E25" s="359"/>
      <c r="F25" s="392" t="e">
        <f>ROUND(N25/K25/6*1000,1)</f>
        <v>#DIV/0!</v>
      </c>
      <c r="G25" s="390"/>
      <c r="H25" s="390" t="e">
        <f>F25-G25</f>
        <v>#DIV/0!</v>
      </c>
      <c r="I25" s="390"/>
      <c r="J25" s="390" t="e">
        <f>F25-I25</f>
        <v>#DIV/0!</v>
      </c>
      <c r="K25" s="367">
        <f>K26+K27</f>
        <v>0</v>
      </c>
      <c r="L25" s="367">
        <f>L26+L27</f>
        <v>0</v>
      </c>
      <c r="M25" s="358">
        <f>K25-L25</f>
        <v>0</v>
      </c>
      <c r="N25" s="362">
        <f aca="true" t="shared" si="4" ref="N25:V25">N26+N27</f>
        <v>0</v>
      </c>
      <c r="O25" s="362">
        <f t="shared" si="4"/>
        <v>0</v>
      </c>
      <c r="P25" s="362">
        <f t="shared" si="4"/>
        <v>0</v>
      </c>
      <c r="Q25" s="362">
        <f t="shared" si="4"/>
        <v>0</v>
      </c>
      <c r="R25" s="362">
        <f t="shared" si="4"/>
        <v>0</v>
      </c>
      <c r="S25" s="364">
        <f t="shared" si="4"/>
        <v>0</v>
      </c>
      <c r="T25" s="364">
        <f t="shared" si="4"/>
        <v>0</v>
      </c>
      <c r="U25" s="364">
        <f t="shared" si="4"/>
        <v>0</v>
      </c>
      <c r="V25" s="364">
        <f t="shared" si="4"/>
        <v>0</v>
      </c>
    </row>
    <row r="26" spans="1:22" s="395" customFormat="1" ht="24">
      <c r="A26" s="368" t="s">
        <v>9</v>
      </c>
      <c r="B26" s="369" t="s">
        <v>260</v>
      </c>
      <c r="C26" s="370" t="e">
        <v>#DIV/0!</v>
      </c>
      <c r="D26" s="359"/>
      <c r="E26" s="359"/>
      <c r="F26" s="393"/>
      <c r="G26" s="393"/>
      <c r="H26" s="394">
        <f>F26-G26</f>
        <v>0</v>
      </c>
      <c r="I26" s="394"/>
      <c r="J26" s="394">
        <f>F26-I26</f>
        <v>0</v>
      </c>
      <c r="K26" s="370"/>
      <c r="L26" s="370"/>
      <c r="M26" s="370">
        <f>K26-L26</f>
        <v>0</v>
      </c>
      <c r="N26" s="373">
        <f>O26+P26+Q26+R26</f>
        <v>0</v>
      </c>
      <c r="O26" s="374">
        <f>ROUND(G26*L26*6/1000,4)</f>
        <v>0</v>
      </c>
      <c r="P26" s="374">
        <f>ROUND(H26*L26*6/1000,4)</f>
        <v>0</v>
      </c>
      <c r="Q26" s="374">
        <f>ROUND(I26*M26*6/1000,4)</f>
        <v>0</v>
      </c>
      <c r="R26" s="374">
        <f>ROUND(J26*M26*6/1000,4)</f>
        <v>0</v>
      </c>
      <c r="S26" s="375">
        <f>T26+U26</f>
        <v>0</v>
      </c>
      <c r="T26" s="375">
        <f>ROUND(D26*O26+E26*P26,1)</f>
        <v>0</v>
      </c>
      <c r="U26" s="375">
        <f>ROUND(D26*Q26+E26*R26,1)</f>
        <v>0</v>
      </c>
      <c r="V26" s="376"/>
    </row>
    <row r="27" spans="1:22" s="396" customFormat="1" ht="39.75" customHeight="1" thickBot="1">
      <c r="A27" s="378" t="s">
        <v>11</v>
      </c>
      <c r="B27" s="369" t="s">
        <v>261</v>
      </c>
      <c r="C27" s="370" t="e">
        <v>#DIV/0!</v>
      </c>
      <c r="D27" s="359"/>
      <c r="E27" s="359"/>
      <c r="F27" s="394"/>
      <c r="G27" s="394"/>
      <c r="H27" s="394">
        <f>F27-G27</f>
        <v>0</v>
      </c>
      <c r="I27" s="394"/>
      <c r="J27" s="394">
        <f>F27-I27</f>
        <v>0</v>
      </c>
      <c r="K27" s="370"/>
      <c r="L27" s="370"/>
      <c r="M27" s="370">
        <f>K27-L27</f>
        <v>0</v>
      </c>
      <c r="N27" s="373">
        <f>O27+P27+Q27+R27</f>
        <v>0</v>
      </c>
      <c r="O27" s="374">
        <f>ROUND(G27*L27*6/1000,4)</f>
        <v>0</v>
      </c>
      <c r="P27" s="374">
        <f>ROUND(H27*L27*6/1000,4)</f>
        <v>0</v>
      </c>
      <c r="Q27" s="374">
        <f>ROUND(I27*M27*6/1000,4)</f>
        <v>0</v>
      </c>
      <c r="R27" s="374">
        <f>ROUND(J27*M27*6/1000,4)</f>
        <v>0</v>
      </c>
      <c r="S27" s="375">
        <f>T27+U27</f>
        <v>0</v>
      </c>
      <c r="T27" s="375">
        <f>ROUND(D27*O27+E27*P27,1)</f>
        <v>0</v>
      </c>
      <c r="U27" s="375">
        <f>ROUND(D27*Q27+E27*R27,1)</f>
        <v>0</v>
      </c>
      <c r="V27" s="379"/>
    </row>
    <row r="28" spans="1:22" s="406" customFormat="1" ht="27" customHeight="1">
      <c r="A28" s="621" t="s">
        <v>28</v>
      </c>
      <c r="B28" s="622"/>
      <c r="C28" s="397" t="e">
        <f>ROUND(S28/N28,4)</f>
        <v>#DIV/0!</v>
      </c>
      <c r="D28" s="398"/>
      <c r="E28" s="399"/>
      <c r="F28" s="400" t="e">
        <f>ROUND(N28/K28/6*1000,1)</f>
        <v>#DIV/0!</v>
      </c>
      <c r="G28" s="401" t="e">
        <f>ROUND(O28/L28/6*1000,1)</f>
        <v>#DIV/0!</v>
      </c>
      <c r="H28" s="401" t="e">
        <f>ROUND(P28/L28/6*1000,1)</f>
        <v>#DIV/0!</v>
      </c>
      <c r="I28" s="401" t="e">
        <f>ROUND(Q28/M28/6*1000,1)</f>
        <v>#DIV/0!</v>
      </c>
      <c r="J28" s="401" t="e">
        <f>ROUND(R28/M28/6*1000,1)</f>
        <v>#DIV/0!</v>
      </c>
      <c r="K28" s="402">
        <f>SUM(K24:K25)</f>
        <v>0</v>
      </c>
      <c r="L28" s="402">
        <f>SUM(L24:L25)</f>
        <v>0</v>
      </c>
      <c r="M28" s="402">
        <f>SUM(M24:M25)</f>
        <v>0</v>
      </c>
      <c r="N28" s="403">
        <f>SUM(N24:N25)</f>
        <v>0</v>
      </c>
      <c r="O28" s="403">
        <f aca="true" t="shared" si="5" ref="O28:V28">SUM(O24:O25)</f>
        <v>0</v>
      </c>
      <c r="P28" s="403">
        <f t="shared" si="5"/>
        <v>0</v>
      </c>
      <c r="Q28" s="403">
        <f t="shared" si="5"/>
        <v>0</v>
      </c>
      <c r="R28" s="403">
        <f t="shared" si="5"/>
        <v>0</v>
      </c>
      <c r="S28" s="404">
        <f t="shared" si="5"/>
        <v>0</v>
      </c>
      <c r="T28" s="405">
        <f t="shared" si="5"/>
        <v>0</v>
      </c>
      <c r="U28" s="405">
        <f t="shared" si="5"/>
        <v>0</v>
      </c>
      <c r="V28" s="405">
        <f t="shared" si="5"/>
        <v>0</v>
      </c>
    </row>
    <row r="29" spans="1:22" s="355" customFormat="1" ht="15">
      <c r="A29" s="623" t="s">
        <v>308</v>
      </c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5"/>
    </row>
    <row r="30" spans="1:22" s="355" customFormat="1" ht="43.5" customHeight="1">
      <c r="A30" s="356" t="s">
        <v>181</v>
      </c>
      <c r="B30" s="357" t="s">
        <v>258</v>
      </c>
      <c r="C30" s="358" t="e">
        <v>#DIV/0!</v>
      </c>
      <c r="D30" s="359"/>
      <c r="E30" s="359"/>
      <c r="F30" s="389"/>
      <c r="G30" s="390"/>
      <c r="H30" s="390">
        <f>F30-G30</f>
        <v>0</v>
      </c>
      <c r="I30" s="390"/>
      <c r="J30" s="390">
        <f>F30-I30</f>
        <v>0</v>
      </c>
      <c r="K30" s="358"/>
      <c r="L30" s="358"/>
      <c r="M30" s="358">
        <f>K30-L30</f>
        <v>0</v>
      </c>
      <c r="N30" s="362">
        <f>O30+P30+Q30+R30</f>
        <v>0</v>
      </c>
      <c r="O30" s="363">
        <f>ROUND(G30*L30*6/1000,4)</f>
        <v>0</v>
      </c>
      <c r="P30" s="363">
        <f>ROUND(H30*L30*6/1000,4)</f>
        <v>0</v>
      </c>
      <c r="Q30" s="363">
        <f>ROUND(I30*M30*6/1000,4)</f>
        <v>0</v>
      </c>
      <c r="R30" s="363">
        <f>ROUND(J30*M30*6/1000,4)</f>
        <v>0</v>
      </c>
      <c r="S30" s="364">
        <f>T30+U30</f>
        <v>0</v>
      </c>
      <c r="T30" s="364">
        <f>ROUND(D30*O30+E30*P30,1)</f>
        <v>0</v>
      </c>
      <c r="U30" s="364">
        <f>ROUND(D30*Q30+E30*R30,1)</f>
        <v>0</v>
      </c>
      <c r="V30" s="365"/>
    </row>
    <row r="31" spans="1:22" s="355" customFormat="1" ht="48">
      <c r="A31" s="356" t="s">
        <v>189</v>
      </c>
      <c r="B31" s="357" t="s">
        <v>259</v>
      </c>
      <c r="C31" s="358" t="e">
        <v>#DIV/0!</v>
      </c>
      <c r="D31" s="359"/>
      <c r="E31" s="359"/>
      <c r="F31" s="392" t="e">
        <f>ROUND(N31/K31/6*1000,1)</f>
        <v>#DIV/0!</v>
      </c>
      <c r="G31" s="390"/>
      <c r="H31" s="390" t="e">
        <f>F31-G31</f>
        <v>#DIV/0!</v>
      </c>
      <c r="I31" s="390"/>
      <c r="J31" s="390" t="e">
        <f>F31-I31</f>
        <v>#DIV/0!</v>
      </c>
      <c r="K31" s="367">
        <f>K32+K33</f>
        <v>0</v>
      </c>
      <c r="L31" s="367">
        <f>L32+L33</f>
        <v>0</v>
      </c>
      <c r="M31" s="358">
        <f>K31-L31</f>
        <v>0</v>
      </c>
      <c r="N31" s="362">
        <f aca="true" t="shared" si="6" ref="N31:V31">N32+N33</f>
        <v>0</v>
      </c>
      <c r="O31" s="362">
        <f t="shared" si="6"/>
        <v>0</v>
      </c>
      <c r="P31" s="362">
        <f t="shared" si="6"/>
        <v>0</v>
      </c>
      <c r="Q31" s="362">
        <f t="shared" si="6"/>
        <v>0</v>
      </c>
      <c r="R31" s="362">
        <f t="shared" si="6"/>
        <v>0</v>
      </c>
      <c r="S31" s="364">
        <f t="shared" si="6"/>
        <v>0</v>
      </c>
      <c r="T31" s="364">
        <f t="shared" si="6"/>
        <v>0</v>
      </c>
      <c r="U31" s="364">
        <f t="shared" si="6"/>
        <v>0</v>
      </c>
      <c r="V31" s="364">
        <f t="shared" si="6"/>
        <v>0</v>
      </c>
    </row>
    <row r="32" spans="1:22" s="377" customFormat="1" ht="24">
      <c r="A32" s="368" t="s">
        <v>9</v>
      </c>
      <c r="B32" s="369" t="s">
        <v>260</v>
      </c>
      <c r="C32" s="370" t="e">
        <v>#DIV/0!</v>
      </c>
      <c r="D32" s="359"/>
      <c r="E32" s="359"/>
      <c r="F32" s="393"/>
      <c r="G32" s="393"/>
      <c r="H32" s="394">
        <f>F32-G32</f>
        <v>0</v>
      </c>
      <c r="I32" s="394"/>
      <c r="J32" s="394">
        <f>F32-I32</f>
        <v>0</v>
      </c>
      <c r="K32" s="370"/>
      <c r="L32" s="370"/>
      <c r="M32" s="370">
        <f>K32-L32</f>
        <v>0</v>
      </c>
      <c r="N32" s="373">
        <f>O32+P32+Q32+R32</f>
        <v>0</v>
      </c>
      <c r="O32" s="374">
        <f>ROUND(G32*L32*6/1000,4)</f>
        <v>0</v>
      </c>
      <c r="P32" s="374">
        <f>ROUND(H32*L32*6/1000,4)</f>
        <v>0</v>
      </c>
      <c r="Q32" s="374">
        <f>ROUND(I32*M32*6/1000,4)</f>
        <v>0</v>
      </c>
      <c r="R32" s="374">
        <f>ROUND(J32*M32*6/1000,4)</f>
        <v>0</v>
      </c>
      <c r="S32" s="375">
        <f>T32+U32</f>
        <v>0</v>
      </c>
      <c r="T32" s="375">
        <f>ROUND(D32*O32+E32*P32,1)</f>
        <v>0</v>
      </c>
      <c r="U32" s="375">
        <f>ROUND(D32*Q32+E32*R32,1)</f>
        <v>0</v>
      </c>
      <c r="V32" s="376"/>
    </row>
    <row r="33" spans="1:22" s="377" customFormat="1" ht="41.25" customHeight="1" thickBot="1">
      <c r="A33" s="378" t="s">
        <v>11</v>
      </c>
      <c r="B33" s="369" t="s">
        <v>261</v>
      </c>
      <c r="C33" s="370" t="e">
        <v>#DIV/0!</v>
      </c>
      <c r="D33" s="359"/>
      <c r="E33" s="359"/>
      <c r="F33" s="394"/>
      <c r="G33" s="394"/>
      <c r="H33" s="394">
        <f>F33-G33</f>
        <v>0</v>
      </c>
      <c r="I33" s="394"/>
      <c r="J33" s="394">
        <f>F33-I33</f>
        <v>0</v>
      </c>
      <c r="K33" s="370"/>
      <c r="L33" s="370"/>
      <c r="M33" s="370">
        <f>K33-L33</f>
        <v>0</v>
      </c>
      <c r="N33" s="373">
        <f>O33+P33+Q33+R33</f>
        <v>0</v>
      </c>
      <c r="O33" s="374">
        <f>ROUND(G33*L33*6/1000,4)</f>
        <v>0</v>
      </c>
      <c r="P33" s="374">
        <f>ROUND(H33*L33*6/1000,4)</f>
        <v>0</v>
      </c>
      <c r="Q33" s="374">
        <f>ROUND(I33*M33*6/1000,4)</f>
        <v>0</v>
      </c>
      <c r="R33" s="374">
        <f>ROUND(J33*M33*6/1000,4)</f>
        <v>0</v>
      </c>
      <c r="S33" s="375">
        <f>T33+U33</f>
        <v>0</v>
      </c>
      <c r="T33" s="375">
        <f>ROUND(D33*O33+E33*P33,1)</f>
        <v>0</v>
      </c>
      <c r="U33" s="375">
        <f>ROUND(D33*Q33+E33*R33,1)</f>
        <v>0</v>
      </c>
      <c r="V33" s="379"/>
    </row>
    <row r="34" spans="1:22" s="355" customFormat="1" ht="24" customHeight="1" thickBot="1">
      <c r="A34" s="612" t="s">
        <v>28</v>
      </c>
      <c r="B34" s="613"/>
      <c r="C34" s="380" t="e">
        <f>ROUND(S34/N34,4)</f>
        <v>#DIV/0!</v>
      </c>
      <c r="D34" s="381"/>
      <c r="E34" s="382"/>
      <c r="F34" s="383" t="e">
        <f>ROUND(N34/K34/6*1000,1)</f>
        <v>#DIV/0!</v>
      </c>
      <c r="G34" s="384" t="e">
        <f>ROUND(O34/L34/6*1000,1)</f>
        <v>#DIV/0!</v>
      </c>
      <c r="H34" s="384" t="e">
        <f>ROUND(P34/L34/6*1000,1)</f>
        <v>#DIV/0!</v>
      </c>
      <c r="I34" s="384" t="e">
        <f>ROUND(Q34/M34/6*1000,1)</f>
        <v>#DIV/0!</v>
      </c>
      <c r="J34" s="384" t="e">
        <f>ROUND(R34/M34/6*1000,1)</f>
        <v>#DIV/0!</v>
      </c>
      <c r="K34" s="385">
        <f>SUM(K30:K31)</f>
        <v>0</v>
      </c>
      <c r="L34" s="385">
        <f>SUM(L30:L31)</f>
        <v>0</v>
      </c>
      <c r="M34" s="385">
        <f>SUM(M30:M31)</f>
        <v>0</v>
      </c>
      <c r="N34" s="386">
        <f>SUM(N30:N31)</f>
        <v>0</v>
      </c>
      <c r="O34" s="386">
        <f aca="true" t="shared" si="7" ref="O34:V34">SUM(O30:O31)</f>
        <v>0</v>
      </c>
      <c r="P34" s="386">
        <f t="shared" si="7"/>
        <v>0</v>
      </c>
      <c r="Q34" s="386">
        <f t="shared" si="7"/>
        <v>0</v>
      </c>
      <c r="R34" s="386">
        <f t="shared" si="7"/>
        <v>0</v>
      </c>
      <c r="S34" s="387">
        <f t="shared" si="7"/>
        <v>0</v>
      </c>
      <c r="T34" s="388">
        <f t="shared" si="7"/>
        <v>0</v>
      </c>
      <c r="U34" s="388">
        <f t="shared" si="7"/>
        <v>0</v>
      </c>
      <c r="V34" s="388">
        <f t="shared" si="7"/>
        <v>0</v>
      </c>
    </row>
    <row r="35" spans="1:22" s="355" customFormat="1" ht="15">
      <c r="A35" s="407"/>
      <c r="B35" s="407"/>
      <c r="C35" s="407"/>
      <c r="D35" s="407"/>
      <c r="E35" s="408"/>
      <c r="F35" s="409"/>
      <c r="G35" s="409"/>
      <c r="H35" s="409"/>
      <c r="I35" s="409"/>
      <c r="J35" s="409"/>
      <c r="K35" s="409"/>
      <c r="L35" s="349"/>
      <c r="M35" s="349"/>
      <c r="N35" s="349"/>
      <c r="O35" s="410"/>
      <c r="P35" s="411"/>
      <c r="Q35" s="411"/>
      <c r="R35" s="411"/>
      <c r="S35" s="411"/>
      <c r="T35" s="411"/>
      <c r="U35" s="411"/>
      <c r="V35" s="411"/>
    </row>
    <row r="36" spans="1:15" s="415" customFormat="1" ht="14.25">
      <c r="A36" s="412"/>
      <c r="B36" s="413"/>
      <c r="C36" s="413"/>
      <c r="D36" s="413"/>
      <c r="E36" s="414"/>
      <c r="F36" s="414"/>
      <c r="G36" s="414"/>
      <c r="H36" s="414"/>
      <c r="I36" s="414"/>
      <c r="J36" s="414"/>
      <c r="K36" s="414"/>
      <c r="L36" s="348"/>
      <c r="M36" s="348"/>
      <c r="N36" s="348"/>
      <c r="O36" s="348"/>
    </row>
    <row r="37" spans="1:15" s="417" customFormat="1" ht="14.25">
      <c r="A37" s="416" t="s">
        <v>264</v>
      </c>
      <c r="D37" s="418"/>
      <c r="E37" s="419"/>
      <c r="F37" s="419"/>
      <c r="G37" s="419"/>
      <c r="H37" s="419"/>
      <c r="I37" s="419"/>
      <c r="J37" s="419"/>
      <c r="K37" s="419"/>
      <c r="L37" s="205"/>
      <c r="M37" s="205"/>
      <c r="N37" s="205"/>
      <c r="O37" s="205"/>
    </row>
    <row r="38" spans="1:15" s="417" customFormat="1" ht="14.25">
      <c r="A38" s="420" t="s">
        <v>181</v>
      </c>
      <c r="B38" s="421" t="s">
        <v>265</v>
      </c>
      <c r="D38" s="418"/>
      <c r="E38" s="419"/>
      <c r="F38" s="419"/>
      <c r="G38" s="419"/>
      <c r="H38" s="419"/>
      <c r="I38" s="419"/>
      <c r="J38" s="419"/>
      <c r="K38" s="419"/>
      <c r="L38" s="205"/>
      <c r="M38" s="205"/>
      <c r="N38" s="205"/>
      <c r="O38" s="205"/>
    </row>
    <row r="39" spans="1:15" s="417" customFormat="1" ht="14.25">
      <c r="A39" s="420"/>
      <c r="B39" s="417" t="s">
        <v>266</v>
      </c>
      <c r="D39" s="418"/>
      <c r="E39" s="419"/>
      <c r="F39" s="419"/>
      <c r="G39" s="419"/>
      <c r="H39" s="419"/>
      <c r="I39" s="419"/>
      <c r="J39" s="419"/>
      <c r="K39" s="419"/>
      <c r="L39" s="205"/>
      <c r="M39" s="205"/>
      <c r="N39" s="205"/>
      <c r="O39" s="205"/>
    </row>
    <row r="40" spans="1:15" s="417" customFormat="1" ht="14.25">
      <c r="A40" s="420" t="s">
        <v>189</v>
      </c>
      <c r="B40" s="418" t="s">
        <v>267</v>
      </c>
      <c r="C40" s="418"/>
      <c r="D40" s="418"/>
      <c r="E40" s="419"/>
      <c r="F40" s="419"/>
      <c r="G40" s="419"/>
      <c r="H40" s="419"/>
      <c r="I40" s="419"/>
      <c r="J40" s="419"/>
      <c r="K40" s="419"/>
      <c r="L40" s="205"/>
      <c r="M40" s="205"/>
      <c r="N40" s="205"/>
      <c r="O40" s="205"/>
    </row>
    <row r="41" spans="1:21" s="417" customFormat="1" ht="14.25">
      <c r="A41" s="420"/>
      <c r="B41" s="617" t="s">
        <v>268</v>
      </c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</row>
    <row r="42" spans="1:21" s="417" customFormat="1" ht="29.25" customHeight="1">
      <c r="A42" s="420"/>
      <c r="B42" s="618" t="s">
        <v>269</v>
      </c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</row>
    <row r="43" spans="1:21" s="417" customFormat="1" ht="14.25">
      <c r="A43" s="420"/>
      <c r="B43" s="418" t="s">
        <v>270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</row>
    <row r="44" spans="1:21" s="417" customFormat="1" ht="14.25">
      <c r="A44" s="420"/>
      <c r="B44" s="618" t="s">
        <v>271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</row>
    <row r="45" spans="1:21" s="417" customFormat="1" ht="14.25">
      <c r="A45" s="420"/>
      <c r="B45" s="618" t="s">
        <v>272</v>
      </c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</row>
    <row r="46" spans="1:21" s="417" customFormat="1" ht="14.25">
      <c r="A46" s="420"/>
      <c r="B46" s="618" t="s">
        <v>273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</row>
    <row r="47" spans="1:15" s="417" customFormat="1" ht="14.25">
      <c r="A47" s="420"/>
      <c r="B47" s="418" t="s">
        <v>274</v>
      </c>
      <c r="C47" s="418"/>
      <c r="D47" s="418"/>
      <c r="E47" s="419"/>
      <c r="F47" s="419"/>
      <c r="G47" s="419"/>
      <c r="H47" s="419"/>
      <c r="I47" s="419"/>
      <c r="J47" s="419"/>
      <c r="K47" s="419"/>
      <c r="L47" s="205"/>
      <c r="M47" s="205"/>
      <c r="N47" s="205"/>
      <c r="O47" s="205"/>
    </row>
    <row r="48" spans="1:15" s="417" customFormat="1" ht="14.25">
      <c r="A48" s="420"/>
      <c r="B48" s="418" t="s">
        <v>275</v>
      </c>
      <c r="C48" s="418"/>
      <c r="D48" s="418"/>
      <c r="E48" s="419"/>
      <c r="F48" s="419"/>
      <c r="G48" s="419"/>
      <c r="H48" s="419"/>
      <c r="I48" s="419"/>
      <c r="J48" s="419"/>
      <c r="K48" s="419"/>
      <c r="L48" s="205"/>
      <c r="M48" s="205"/>
      <c r="N48" s="205"/>
      <c r="O48" s="205"/>
    </row>
    <row r="49" spans="1:15" s="415" customFormat="1" ht="14.25">
      <c r="A49" s="412"/>
      <c r="B49" s="413"/>
      <c r="C49" s="413"/>
      <c r="D49" s="413"/>
      <c r="E49" s="414"/>
      <c r="F49" s="414"/>
      <c r="G49" s="414"/>
      <c r="H49" s="414"/>
      <c r="I49" s="414"/>
      <c r="J49" s="414"/>
      <c r="K49" s="414"/>
      <c r="L49" s="348"/>
      <c r="M49" s="348"/>
      <c r="N49" s="348"/>
      <c r="O49" s="348"/>
    </row>
    <row r="50" spans="1:15" s="415" customFormat="1" ht="14.25">
      <c r="A50" s="412"/>
      <c r="B50" s="413"/>
      <c r="C50" s="413"/>
      <c r="D50" s="413"/>
      <c r="E50" s="414"/>
      <c r="F50" s="414"/>
      <c r="G50" s="414"/>
      <c r="H50" s="414"/>
      <c r="I50" s="414"/>
      <c r="J50" s="414"/>
      <c r="K50" s="414"/>
      <c r="L50" s="348"/>
      <c r="M50" s="348"/>
      <c r="N50" s="348"/>
      <c r="O50" s="348"/>
    </row>
    <row r="51" spans="1:15" s="415" customFormat="1" ht="14.25">
      <c r="A51" s="412"/>
      <c r="B51" s="413"/>
      <c r="C51" s="413"/>
      <c r="D51" s="413"/>
      <c r="E51" s="414"/>
      <c r="F51" s="414"/>
      <c r="G51" s="414"/>
      <c r="H51" s="414"/>
      <c r="I51" s="414"/>
      <c r="J51" s="414"/>
      <c r="K51" s="414"/>
      <c r="L51" s="348"/>
      <c r="M51" s="348"/>
      <c r="N51" s="348"/>
      <c r="O51" s="348"/>
    </row>
    <row r="52" spans="2:4" s="422" customFormat="1" ht="12.75">
      <c r="B52" s="422" t="s">
        <v>297</v>
      </c>
      <c r="C52" s="423"/>
      <c r="D52" s="423"/>
    </row>
    <row r="53" s="422" customFormat="1" ht="12.75">
      <c r="F53" s="422" t="s">
        <v>42</v>
      </c>
    </row>
    <row r="54" spans="2:4" s="422" customFormat="1" ht="12.75">
      <c r="B54" s="422" t="s">
        <v>61</v>
      </c>
      <c r="C54" s="423"/>
      <c r="D54" s="423"/>
    </row>
    <row r="55" spans="2:4" s="422" customFormat="1" ht="12.75">
      <c r="B55" s="422" t="s">
        <v>62</v>
      </c>
      <c r="C55" s="423"/>
      <c r="D55" s="423"/>
    </row>
    <row r="56" spans="6:14" s="355" customFormat="1" ht="15">
      <c r="F56" s="349"/>
      <c r="G56" s="349"/>
      <c r="H56" s="349"/>
      <c r="I56" s="349"/>
      <c r="J56" s="349"/>
      <c r="K56" s="349"/>
      <c r="L56" s="349"/>
      <c r="M56" s="349"/>
      <c r="N56" s="349"/>
    </row>
    <row r="58" spans="2:13" ht="15.75">
      <c r="B58" s="424"/>
      <c r="C58" s="424"/>
      <c r="D58" s="424"/>
      <c r="E58" s="424"/>
      <c r="K58" s="425"/>
      <c r="L58" s="425"/>
      <c r="M58" s="425"/>
    </row>
  </sheetData>
  <sheetProtection/>
  <mergeCells count="66">
    <mergeCell ref="B41:U41"/>
    <mergeCell ref="B42:U42"/>
    <mergeCell ref="B44:U44"/>
    <mergeCell ref="B45:U45"/>
    <mergeCell ref="B46:U46"/>
    <mergeCell ref="T20:T21"/>
    <mergeCell ref="U20:U21"/>
    <mergeCell ref="A23:V23"/>
    <mergeCell ref="A28:B28"/>
    <mergeCell ref="A29:V29"/>
    <mergeCell ref="A34:B34"/>
    <mergeCell ref="S19:S21"/>
    <mergeCell ref="T19:U19"/>
    <mergeCell ref="C20:C21"/>
    <mergeCell ref="D20:E20"/>
    <mergeCell ref="G20:H20"/>
    <mergeCell ref="I20:J20"/>
    <mergeCell ref="L20:L21"/>
    <mergeCell ref="M20:M21"/>
    <mergeCell ref="O20:P20"/>
    <mergeCell ref="F19:F21"/>
    <mergeCell ref="G19:J19"/>
    <mergeCell ref="K19:K21"/>
    <mergeCell ref="L19:M19"/>
    <mergeCell ref="N19:N21"/>
    <mergeCell ref="O19:R19"/>
    <mergeCell ref="Q8:R8"/>
    <mergeCell ref="T8:T9"/>
    <mergeCell ref="U8:U9"/>
    <mergeCell ref="A15:B15"/>
    <mergeCell ref="A17:A21"/>
    <mergeCell ref="B17:B21"/>
    <mergeCell ref="C17:V17"/>
    <mergeCell ref="C18:E19"/>
    <mergeCell ref="Q20:R20"/>
    <mergeCell ref="V18:V21"/>
    <mergeCell ref="T7:U7"/>
    <mergeCell ref="F18:J18"/>
    <mergeCell ref="C8:C9"/>
    <mergeCell ref="D8:E8"/>
    <mergeCell ref="G8:H8"/>
    <mergeCell ref="I8:J8"/>
    <mergeCell ref="L8:L9"/>
    <mergeCell ref="K18:M18"/>
    <mergeCell ref="N18:R18"/>
    <mergeCell ref="S18:U18"/>
    <mergeCell ref="N6:R6"/>
    <mergeCell ref="M8:M9"/>
    <mergeCell ref="V6:V9"/>
    <mergeCell ref="F7:F9"/>
    <mergeCell ref="G7:J7"/>
    <mergeCell ref="K7:K9"/>
    <mergeCell ref="L7:M7"/>
    <mergeCell ref="N7:N9"/>
    <mergeCell ref="O7:R7"/>
    <mergeCell ref="S7:S9"/>
    <mergeCell ref="S6:U6"/>
    <mergeCell ref="O8:P8"/>
    <mergeCell ref="A2:U2"/>
    <mergeCell ref="B3:U3"/>
    <mergeCell ref="A5:A9"/>
    <mergeCell ref="B5:B9"/>
    <mergeCell ref="C5:V5"/>
    <mergeCell ref="C6:E7"/>
    <mergeCell ref="F6:J6"/>
    <mergeCell ref="K6:M6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="80" zoomScaleNormal="80" zoomScaleSheetLayoutView="70" zoomScalePageLayoutView="0" workbookViewId="0" topLeftCell="A1">
      <selection activeCell="F14" sqref="F14"/>
    </sheetView>
  </sheetViews>
  <sheetFormatPr defaultColWidth="9.00390625" defaultRowHeight="12.75"/>
  <cols>
    <col min="1" max="1" width="3.125" style="90" customWidth="1"/>
    <col min="2" max="2" width="12.375" style="90" customWidth="1"/>
    <col min="3" max="3" width="18.375" style="90" customWidth="1"/>
    <col min="4" max="4" width="13.00390625" style="90" customWidth="1"/>
    <col min="5" max="5" width="8.75390625" style="90" customWidth="1"/>
    <col min="6" max="6" width="8.375" style="90" customWidth="1"/>
    <col min="7" max="7" width="4.00390625" style="90" customWidth="1"/>
    <col min="8" max="8" width="6.875" style="90" customWidth="1"/>
    <col min="9" max="10" width="7.25390625" style="90" customWidth="1"/>
    <col min="11" max="11" width="9.375" style="90" customWidth="1"/>
    <col min="12" max="12" width="9.125" style="90" customWidth="1"/>
    <col min="13" max="13" width="9.875" style="90" customWidth="1"/>
    <col min="14" max="14" width="12.75390625" style="90" customWidth="1"/>
    <col min="15" max="15" width="10.00390625" style="90" customWidth="1"/>
    <col min="16" max="16" width="8.625" style="90" customWidth="1"/>
    <col min="17" max="17" width="4.625" style="90" customWidth="1"/>
    <col min="18" max="18" width="6.875" style="90" customWidth="1"/>
    <col min="19" max="20" width="7.25390625" style="90" customWidth="1"/>
    <col min="21" max="21" width="8.25390625" style="90" customWidth="1"/>
    <col min="22" max="22" width="9.125" style="90" customWidth="1"/>
    <col min="23" max="23" width="10.25390625" style="90" customWidth="1"/>
    <col min="24" max="24" width="10.625" style="90" customWidth="1"/>
    <col min="25" max="25" width="10.75390625" style="90" customWidth="1"/>
    <col min="26" max="26" width="8.625" style="90" customWidth="1"/>
    <col min="27" max="27" width="5.375" style="90" customWidth="1"/>
    <col min="28" max="28" width="6.875" style="90" customWidth="1"/>
    <col min="29" max="29" width="7.875" style="90" customWidth="1"/>
    <col min="30" max="30" width="7.25390625" style="90" customWidth="1"/>
    <col min="31" max="31" width="8.25390625" style="90" customWidth="1"/>
    <col min="32" max="32" width="9.125" style="90" customWidth="1"/>
    <col min="33" max="33" width="10.75390625" style="90" customWidth="1"/>
    <col min="34" max="34" width="11.25390625" style="90" customWidth="1"/>
    <col min="35" max="16384" width="9.125" style="90" customWidth="1"/>
  </cols>
  <sheetData>
    <row r="1" spans="23:34" ht="12.75">
      <c r="W1" s="634"/>
      <c r="X1" s="634"/>
      <c r="AG1" s="634" t="s">
        <v>276</v>
      </c>
      <c r="AH1" s="634"/>
    </row>
    <row r="2" spans="1:34" ht="15.75">
      <c r="A2" s="635" t="s">
        <v>310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1:34" s="427" customFormat="1" ht="15.75">
      <c r="A3" s="636" t="s">
        <v>157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426"/>
      <c r="Z3" s="426"/>
      <c r="AA3" s="426"/>
      <c r="AB3" s="426"/>
      <c r="AC3" s="426"/>
      <c r="AD3" s="426"/>
      <c r="AE3" s="426"/>
      <c r="AF3" s="426"/>
      <c r="AG3" s="426"/>
      <c r="AH3" s="426"/>
    </row>
    <row r="4" spans="1:34" ht="15.75">
      <c r="A4" s="637"/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195"/>
      <c r="Z4" s="195"/>
      <c r="AA4" s="195"/>
      <c r="AB4" s="195"/>
      <c r="AC4" s="195"/>
      <c r="AD4" s="195"/>
      <c r="AE4" s="195"/>
      <c r="AF4" s="195"/>
      <c r="AG4" s="195"/>
      <c r="AH4" s="195"/>
    </row>
    <row r="5" ht="6" customHeight="1"/>
    <row r="6" spans="1:34" s="462" customFormat="1" ht="23.25" customHeight="1">
      <c r="A6" s="626" t="s">
        <v>55</v>
      </c>
      <c r="B6" s="638" t="s">
        <v>71</v>
      </c>
      <c r="C6" s="626" t="s">
        <v>110</v>
      </c>
      <c r="D6" s="638" t="s">
        <v>57</v>
      </c>
      <c r="E6" s="631" t="s">
        <v>64</v>
      </c>
      <c r="F6" s="631"/>
      <c r="G6" s="631"/>
      <c r="H6" s="631"/>
      <c r="I6" s="631"/>
      <c r="J6" s="631"/>
      <c r="K6" s="631"/>
      <c r="L6" s="631"/>
      <c r="M6" s="631"/>
      <c r="N6" s="631"/>
      <c r="O6" s="643" t="s">
        <v>301</v>
      </c>
      <c r="P6" s="643"/>
      <c r="Q6" s="643"/>
      <c r="R6" s="643"/>
      <c r="S6" s="643"/>
      <c r="T6" s="643"/>
      <c r="U6" s="643"/>
      <c r="V6" s="643"/>
      <c r="W6" s="643"/>
      <c r="X6" s="643"/>
      <c r="Y6" s="644" t="s">
        <v>302</v>
      </c>
      <c r="Z6" s="644"/>
      <c r="AA6" s="644"/>
      <c r="AB6" s="644"/>
      <c r="AC6" s="644"/>
      <c r="AD6" s="644"/>
      <c r="AE6" s="644"/>
      <c r="AF6" s="644"/>
      <c r="AG6" s="644"/>
      <c r="AH6" s="644"/>
    </row>
    <row r="7" spans="1:34" s="194" customFormat="1" ht="60.75" customHeight="1">
      <c r="A7" s="627"/>
      <c r="B7" s="639"/>
      <c r="C7" s="627"/>
      <c r="D7" s="639"/>
      <c r="E7" s="632" t="s">
        <v>277</v>
      </c>
      <c r="F7" s="632" t="s">
        <v>277</v>
      </c>
      <c r="G7" s="641" t="s">
        <v>70</v>
      </c>
      <c r="H7" s="629" t="s">
        <v>105</v>
      </c>
      <c r="I7" s="632" t="s">
        <v>104</v>
      </c>
      <c r="J7" s="629" t="s">
        <v>58</v>
      </c>
      <c r="K7" s="632" t="s">
        <v>109</v>
      </c>
      <c r="L7" s="632" t="s">
        <v>108</v>
      </c>
      <c r="M7" s="645" t="s">
        <v>54</v>
      </c>
      <c r="N7" s="646"/>
      <c r="O7" s="632" t="s">
        <v>277</v>
      </c>
      <c r="P7" s="632" t="s">
        <v>277</v>
      </c>
      <c r="Q7" s="641" t="s">
        <v>70</v>
      </c>
      <c r="R7" s="629" t="s">
        <v>105</v>
      </c>
      <c r="S7" s="632" t="s">
        <v>104</v>
      </c>
      <c r="T7" s="629" t="s">
        <v>58</v>
      </c>
      <c r="U7" s="632" t="s">
        <v>103</v>
      </c>
      <c r="V7" s="632" t="s">
        <v>107</v>
      </c>
      <c r="W7" s="645" t="s">
        <v>54</v>
      </c>
      <c r="X7" s="646"/>
      <c r="Y7" s="632" t="s">
        <v>277</v>
      </c>
      <c r="Z7" s="632" t="s">
        <v>277</v>
      </c>
      <c r="AA7" s="641" t="s">
        <v>106</v>
      </c>
      <c r="AB7" s="629" t="s">
        <v>105</v>
      </c>
      <c r="AC7" s="632" t="s">
        <v>104</v>
      </c>
      <c r="AD7" s="629" t="s">
        <v>58</v>
      </c>
      <c r="AE7" s="632" t="s">
        <v>103</v>
      </c>
      <c r="AF7" s="632" t="s">
        <v>102</v>
      </c>
      <c r="AG7" s="647" t="s">
        <v>54</v>
      </c>
      <c r="AH7" s="648"/>
    </row>
    <row r="8" spans="1:34" s="194" customFormat="1" ht="111.75" customHeight="1">
      <c r="A8" s="627"/>
      <c r="B8" s="639"/>
      <c r="C8" s="627"/>
      <c r="D8" s="639"/>
      <c r="E8" s="633"/>
      <c r="F8" s="633"/>
      <c r="G8" s="642"/>
      <c r="H8" s="630"/>
      <c r="I8" s="633"/>
      <c r="J8" s="630"/>
      <c r="K8" s="633"/>
      <c r="L8" s="633"/>
      <c r="M8" s="428" t="s">
        <v>278</v>
      </c>
      <c r="N8" s="429" t="s">
        <v>279</v>
      </c>
      <c r="O8" s="633"/>
      <c r="P8" s="633"/>
      <c r="Q8" s="642"/>
      <c r="R8" s="630"/>
      <c r="S8" s="633"/>
      <c r="T8" s="630"/>
      <c r="U8" s="633"/>
      <c r="V8" s="633"/>
      <c r="W8" s="429" t="s">
        <v>280</v>
      </c>
      <c r="X8" s="429" t="s">
        <v>281</v>
      </c>
      <c r="Y8" s="633"/>
      <c r="Z8" s="633"/>
      <c r="AA8" s="642"/>
      <c r="AB8" s="630"/>
      <c r="AC8" s="633"/>
      <c r="AD8" s="630"/>
      <c r="AE8" s="633"/>
      <c r="AF8" s="633"/>
      <c r="AG8" s="429" t="s">
        <v>282</v>
      </c>
      <c r="AH8" s="429" t="s">
        <v>283</v>
      </c>
    </row>
    <row r="9" spans="1:34" s="189" customFormat="1" ht="17.25" customHeight="1">
      <c r="A9" s="628"/>
      <c r="B9" s="640"/>
      <c r="C9" s="628"/>
      <c r="D9" s="640"/>
      <c r="E9" s="193" t="s">
        <v>101</v>
      </c>
      <c r="F9" s="193" t="s">
        <v>101</v>
      </c>
      <c r="G9" s="193" t="s">
        <v>5</v>
      </c>
      <c r="H9" s="70" t="s">
        <v>60</v>
      </c>
      <c r="I9" s="193" t="s">
        <v>7</v>
      </c>
      <c r="J9" s="193" t="s">
        <v>59</v>
      </c>
      <c r="K9" s="193" t="s">
        <v>100</v>
      </c>
      <c r="L9" s="193" t="s">
        <v>27</v>
      </c>
      <c r="M9" s="197" t="s">
        <v>8</v>
      </c>
      <c r="N9" s="193" t="s">
        <v>8</v>
      </c>
      <c r="O9" s="193" t="s">
        <v>101</v>
      </c>
      <c r="P9" s="193" t="s">
        <v>101</v>
      </c>
      <c r="Q9" s="193" t="s">
        <v>5</v>
      </c>
      <c r="R9" s="70" t="s">
        <v>60</v>
      </c>
      <c r="S9" s="193" t="s">
        <v>7</v>
      </c>
      <c r="T9" s="193" t="s">
        <v>59</v>
      </c>
      <c r="U9" s="193" t="s">
        <v>100</v>
      </c>
      <c r="V9" s="193" t="s">
        <v>27</v>
      </c>
      <c r="W9" s="193" t="s">
        <v>8</v>
      </c>
      <c r="X9" s="193" t="s">
        <v>8</v>
      </c>
      <c r="Y9" s="193" t="s">
        <v>101</v>
      </c>
      <c r="Z9" s="193" t="s">
        <v>101</v>
      </c>
      <c r="AA9" s="193" t="s">
        <v>5</v>
      </c>
      <c r="AB9" s="70" t="s">
        <v>60</v>
      </c>
      <c r="AC9" s="193" t="s">
        <v>7</v>
      </c>
      <c r="AD9" s="193"/>
      <c r="AE9" s="193" t="s">
        <v>100</v>
      </c>
      <c r="AF9" s="193" t="s">
        <v>27</v>
      </c>
      <c r="AG9" s="193" t="s">
        <v>8</v>
      </c>
      <c r="AH9" s="193" t="s">
        <v>8</v>
      </c>
    </row>
    <row r="10" spans="1:34" s="189" customFormat="1" ht="9.75">
      <c r="A10" s="192"/>
      <c r="B10" s="191">
        <v>1</v>
      </c>
      <c r="C10" s="190">
        <v>2</v>
      </c>
      <c r="D10" s="190" t="s">
        <v>99</v>
      </c>
      <c r="E10" s="190">
        <f>C10+1</f>
        <v>3</v>
      </c>
      <c r="F10" s="190">
        <f aca="true" t="shared" si="0" ref="F10:AH10">E10+1</f>
        <v>4</v>
      </c>
      <c r="G10" s="190">
        <f t="shared" si="0"/>
        <v>5</v>
      </c>
      <c r="H10" s="190">
        <f t="shared" si="0"/>
        <v>6</v>
      </c>
      <c r="I10" s="190">
        <f t="shared" si="0"/>
        <v>7</v>
      </c>
      <c r="J10" s="190">
        <f t="shared" si="0"/>
        <v>8</v>
      </c>
      <c r="K10" s="190">
        <f t="shared" si="0"/>
        <v>9</v>
      </c>
      <c r="L10" s="190">
        <f t="shared" si="0"/>
        <v>10</v>
      </c>
      <c r="M10" s="190">
        <f t="shared" si="0"/>
        <v>11</v>
      </c>
      <c r="N10" s="190">
        <f t="shared" si="0"/>
        <v>12</v>
      </c>
      <c r="O10" s="190">
        <f t="shared" si="0"/>
        <v>13</v>
      </c>
      <c r="P10" s="190">
        <f t="shared" si="0"/>
        <v>14</v>
      </c>
      <c r="Q10" s="190">
        <f t="shared" si="0"/>
        <v>15</v>
      </c>
      <c r="R10" s="190">
        <f t="shared" si="0"/>
        <v>16</v>
      </c>
      <c r="S10" s="190">
        <f t="shared" si="0"/>
        <v>17</v>
      </c>
      <c r="T10" s="190">
        <f t="shared" si="0"/>
        <v>18</v>
      </c>
      <c r="U10" s="190">
        <f t="shared" si="0"/>
        <v>19</v>
      </c>
      <c r="V10" s="190">
        <f t="shared" si="0"/>
        <v>20</v>
      </c>
      <c r="W10" s="190">
        <f t="shared" si="0"/>
        <v>21</v>
      </c>
      <c r="X10" s="190">
        <f t="shared" si="0"/>
        <v>22</v>
      </c>
      <c r="Y10" s="190">
        <f t="shared" si="0"/>
        <v>23</v>
      </c>
      <c r="Z10" s="190">
        <f t="shared" si="0"/>
        <v>24</v>
      </c>
      <c r="AA10" s="190">
        <f t="shared" si="0"/>
        <v>25</v>
      </c>
      <c r="AB10" s="190">
        <f t="shared" si="0"/>
        <v>26</v>
      </c>
      <c r="AC10" s="190">
        <f t="shared" si="0"/>
        <v>27</v>
      </c>
      <c r="AD10" s="190">
        <f t="shared" si="0"/>
        <v>28</v>
      </c>
      <c r="AE10" s="190">
        <f t="shared" si="0"/>
        <v>29</v>
      </c>
      <c r="AF10" s="190">
        <f t="shared" si="0"/>
        <v>30</v>
      </c>
      <c r="AG10" s="190">
        <f t="shared" si="0"/>
        <v>31</v>
      </c>
      <c r="AH10" s="190">
        <f t="shared" si="0"/>
        <v>32</v>
      </c>
    </row>
    <row r="11" spans="1:34" s="165" customFormat="1" ht="41.25" customHeight="1">
      <c r="A11" s="188">
        <v>1</v>
      </c>
      <c r="B11" s="187"/>
      <c r="C11" s="186" t="s">
        <v>284</v>
      </c>
      <c r="D11" s="186"/>
      <c r="E11" s="179"/>
      <c r="F11" s="179"/>
      <c r="G11" s="175" t="e">
        <f>ROUND(F11/E11%,1)</f>
        <v>#DIV/0!</v>
      </c>
      <c r="H11" s="181"/>
      <c r="I11" s="182"/>
      <c r="J11" s="182">
        <v>6</v>
      </c>
      <c r="K11" s="180"/>
      <c r="L11" s="180">
        <f>ROUND(I11*K11*J11/1000,5)</f>
        <v>0</v>
      </c>
      <c r="M11" s="179">
        <f>ROUND(E11*L11,3)</f>
        <v>0</v>
      </c>
      <c r="N11" s="179">
        <f>ROUND(L11*F11,3)</f>
        <v>0</v>
      </c>
      <c r="O11" s="179"/>
      <c r="P11" s="179"/>
      <c r="Q11" s="175" t="e">
        <f>ROUND(P11/O11%,1)</f>
        <v>#DIV/0!</v>
      </c>
      <c r="R11" s="181">
        <f aca="true" t="shared" si="1" ref="R11:S13">H11</f>
        <v>0</v>
      </c>
      <c r="S11" s="181">
        <f t="shared" si="1"/>
        <v>0</v>
      </c>
      <c r="T11" s="182">
        <v>6</v>
      </c>
      <c r="U11" s="180"/>
      <c r="V11" s="180">
        <f>ROUND(S11*U11*T11/1000,5)</f>
        <v>0</v>
      </c>
      <c r="W11" s="179">
        <f>ROUND(O11*V11,3)</f>
        <v>0</v>
      </c>
      <c r="X11" s="179">
        <f>ROUND(V11*P11,3)</f>
        <v>0</v>
      </c>
      <c r="Y11" s="179"/>
      <c r="Z11" s="179"/>
      <c r="AA11" s="175" t="e">
        <f>ROUND(Z11/Y11%,1)</f>
        <v>#DIV/0!</v>
      </c>
      <c r="AB11" s="181">
        <f aca="true" t="shared" si="2" ref="AB11:AC13">H11</f>
        <v>0</v>
      </c>
      <c r="AC11" s="181">
        <f t="shared" si="2"/>
        <v>0</v>
      </c>
      <c r="AD11" s="182">
        <v>6</v>
      </c>
      <c r="AE11" s="180"/>
      <c r="AF11" s="180">
        <f>ROUND(AC11*AE11*AD11/1000,5)</f>
        <v>0</v>
      </c>
      <c r="AG11" s="179">
        <f>ROUND(Y11*AF11,3)</f>
        <v>0</v>
      </c>
      <c r="AH11" s="179">
        <f>ROUND(AF11*Z11,3)</f>
        <v>0</v>
      </c>
    </row>
    <row r="12" spans="1:34" s="165" customFormat="1" ht="38.25" customHeight="1">
      <c r="A12" s="185"/>
      <c r="B12" s="184"/>
      <c r="C12" s="183" t="s">
        <v>294</v>
      </c>
      <c r="D12" s="183"/>
      <c r="E12" s="179"/>
      <c r="F12" s="179"/>
      <c r="G12" s="175" t="e">
        <f>ROUND(F12/E12%,1)</f>
        <v>#DIV/0!</v>
      </c>
      <c r="H12" s="179"/>
      <c r="I12" s="182"/>
      <c r="J12" s="182">
        <v>6</v>
      </c>
      <c r="K12" s="181"/>
      <c r="L12" s="180">
        <f>ROUND(I12*K12*J12/1000,5)</f>
        <v>0</v>
      </c>
      <c r="M12" s="179">
        <f>ROUND(E12*L12,3)</f>
        <v>0</v>
      </c>
      <c r="N12" s="179">
        <f>ROUND(L12*F12,3)</f>
        <v>0</v>
      </c>
      <c r="O12" s="179"/>
      <c r="P12" s="179"/>
      <c r="Q12" s="175" t="e">
        <f>ROUND(P12/O12%,1)</f>
        <v>#DIV/0!</v>
      </c>
      <c r="R12" s="181">
        <f t="shared" si="1"/>
        <v>0</v>
      </c>
      <c r="S12" s="181">
        <f t="shared" si="1"/>
        <v>0</v>
      </c>
      <c r="T12" s="182">
        <v>6</v>
      </c>
      <c r="U12" s="181"/>
      <c r="V12" s="180">
        <f>ROUND(S12*U12*T12/1000,5)</f>
        <v>0</v>
      </c>
      <c r="W12" s="179">
        <f>ROUND(O12*V12,3)</f>
        <v>0</v>
      </c>
      <c r="X12" s="179">
        <f>ROUND(V12*P12,3)</f>
        <v>0</v>
      </c>
      <c r="Y12" s="179"/>
      <c r="Z12" s="179"/>
      <c r="AA12" s="175" t="e">
        <f>ROUND(Z12/Y12%,1)</f>
        <v>#DIV/0!</v>
      </c>
      <c r="AB12" s="181">
        <f t="shared" si="2"/>
        <v>0</v>
      </c>
      <c r="AC12" s="181">
        <f t="shared" si="2"/>
        <v>0</v>
      </c>
      <c r="AD12" s="182">
        <v>6</v>
      </c>
      <c r="AE12" s="181"/>
      <c r="AF12" s="180">
        <f>ROUND(AC12*AE12*AD12/1000,5)</f>
        <v>0</v>
      </c>
      <c r="AG12" s="179">
        <f>ROUND(Y12*AF12,3)</f>
        <v>0</v>
      </c>
      <c r="AH12" s="179">
        <f>ROUND(AF12*Z12,3)</f>
        <v>0</v>
      </c>
    </row>
    <row r="13" spans="1:34" s="165" customFormat="1" ht="38.25" customHeight="1">
      <c r="A13" s="185"/>
      <c r="B13" s="184"/>
      <c r="C13" s="183" t="s">
        <v>295</v>
      </c>
      <c r="D13" s="183"/>
      <c r="E13" s="179"/>
      <c r="F13" s="179"/>
      <c r="G13" s="175"/>
      <c r="H13" s="179"/>
      <c r="I13" s="182"/>
      <c r="J13" s="182">
        <v>6</v>
      </c>
      <c r="K13" s="181"/>
      <c r="L13" s="180">
        <f>ROUND(I13*K13*J13/1000,5)</f>
        <v>0</v>
      </c>
      <c r="M13" s="179">
        <f>ROUND(E13*L13,3)</f>
        <v>0</v>
      </c>
      <c r="N13" s="179">
        <f>ROUND(L13*F13,3)</f>
        <v>0</v>
      </c>
      <c r="O13" s="179"/>
      <c r="P13" s="179"/>
      <c r="Q13" s="175"/>
      <c r="R13" s="181">
        <f t="shared" si="1"/>
        <v>0</v>
      </c>
      <c r="S13" s="181">
        <f t="shared" si="1"/>
        <v>0</v>
      </c>
      <c r="T13" s="182">
        <v>6</v>
      </c>
      <c r="U13" s="181"/>
      <c r="V13" s="180">
        <f>ROUND(S13*U13*T13/1000,5)</f>
        <v>0</v>
      </c>
      <c r="W13" s="179">
        <f>ROUND(O13*V13,3)</f>
        <v>0</v>
      </c>
      <c r="X13" s="179">
        <f>ROUND(V13*P13,3)</f>
        <v>0</v>
      </c>
      <c r="Y13" s="179"/>
      <c r="Z13" s="179"/>
      <c r="AA13" s="175"/>
      <c r="AB13" s="181">
        <f t="shared" si="2"/>
        <v>0</v>
      </c>
      <c r="AC13" s="181">
        <f t="shared" si="2"/>
        <v>0</v>
      </c>
      <c r="AD13" s="182">
        <v>6</v>
      </c>
      <c r="AE13" s="181"/>
      <c r="AF13" s="180">
        <f>ROUND(AC13*AE13*AD13/1000,5)</f>
        <v>0</v>
      </c>
      <c r="AG13" s="179">
        <f>ROUND(Y13*AF13,3)</f>
        <v>0</v>
      </c>
      <c r="AH13" s="179">
        <f>ROUND(AF13*Z13,3)</f>
        <v>0</v>
      </c>
    </row>
    <row r="14" spans="1:34" s="169" customFormat="1" ht="22.5" customHeight="1">
      <c r="A14" s="178"/>
      <c r="B14" s="177"/>
      <c r="C14" s="176" t="s">
        <v>28</v>
      </c>
      <c r="D14" s="170">
        <f>D11+D12</f>
        <v>0</v>
      </c>
      <c r="E14" s="171" t="e">
        <f>ROUND(M14/L14,4)</f>
        <v>#DIV/0!</v>
      </c>
      <c r="F14" s="171" t="e">
        <f>ROUND(N14/L14,4)</f>
        <v>#DIV/0!</v>
      </c>
      <c r="G14" s="175" t="e">
        <f>ROUND(F14/E14%,1)</f>
        <v>#DIV/0!</v>
      </c>
      <c r="H14" s="198">
        <f>SUM(H11:H12)</f>
        <v>0</v>
      </c>
      <c r="I14" s="170">
        <f>SUM(I11:I12)</f>
        <v>0</v>
      </c>
      <c r="J14" s="172">
        <v>6</v>
      </c>
      <c r="K14" s="171" t="e">
        <f>ROUND(L14/I14/J14*1000,5)</f>
        <v>#DIV/0!</v>
      </c>
      <c r="L14" s="170">
        <f>SUM(L11:L12)</f>
        <v>0</v>
      </c>
      <c r="M14" s="170">
        <f>SUM(M11:M12)</f>
        <v>0</v>
      </c>
      <c r="N14" s="170">
        <f>SUM(N11:N12)</f>
        <v>0</v>
      </c>
      <c r="O14" s="171" t="e">
        <f>ROUND(W14/V14,4)</f>
        <v>#DIV/0!</v>
      </c>
      <c r="P14" s="171" t="e">
        <f>ROUND(X14/V14,4)</f>
        <v>#DIV/0!</v>
      </c>
      <c r="Q14" s="174" t="e">
        <f>ROUND(P14/O14%,1)</f>
        <v>#DIV/0!</v>
      </c>
      <c r="R14" s="198">
        <f>SUM(R11:R12)</f>
        <v>0</v>
      </c>
      <c r="S14" s="170">
        <f>SUM(S11:S12)</f>
        <v>0</v>
      </c>
      <c r="T14" s="172">
        <v>6</v>
      </c>
      <c r="U14" s="171" t="e">
        <f>ROUND(V14/S14/T14*1000,5)</f>
        <v>#DIV/0!</v>
      </c>
      <c r="V14" s="170">
        <f>SUM(V11:V12)</f>
        <v>0</v>
      </c>
      <c r="W14" s="170">
        <f>SUM(W11:W12)</f>
        <v>0</v>
      </c>
      <c r="X14" s="170">
        <f>SUM(X11:X12)</f>
        <v>0</v>
      </c>
      <c r="Y14" s="171" t="e">
        <f>ROUND(AG14/AF14,4)</f>
        <v>#DIV/0!</v>
      </c>
      <c r="Z14" s="171" t="e">
        <f>ROUND(AH14/AF14,4)</f>
        <v>#DIV/0!</v>
      </c>
      <c r="AA14" s="174" t="e">
        <f>ROUND(Z14/Y14%,1)</f>
        <v>#DIV/0!</v>
      </c>
      <c r="AB14" s="173" t="e">
        <f>AB11+AB12+#REF!+#REF!</f>
        <v>#REF!</v>
      </c>
      <c r="AC14" s="170" t="e">
        <f>AC11+AC12+#REF!+#REF!</f>
        <v>#REF!</v>
      </c>
      <c r="AD14" s="172">
        <v>6</v>
      </c>
      <c r="AE14" s="171" t="e">
        <f>ROUND(AF14/AC14/AD14*1000,5)</f>
        <v>#REF!</v>
      </c>
      <c r="AF14" s="170">
        <f>SUM(AF11:AF12)</f>
        <v>0</v>
      </c>
      <c r="AG14" s="170">
        <f>SUM(AG11:AG12)</f>
        <v>0</v>
      </c>
      <c r="AH14" s="170">
        <f>SUM(AH11:AH12)</f>
        <v>0</v>
      </c>
    </row>
    <row r="15" spans="1:34" s="166" customFormat="1" ht="6.75" customHeight="1">
      <c r="A15" s="168"/>
      <c r="B15" s="168"/>
      <c r="C15" s="167"/>
      <c r="D15" s="167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3:34" ht="12.75"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25:34" ht="12.75"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2:4" s="61" customFormat="1" ht="12.75">
      <c r="B18" s="61" t="s">
        <v>297</v>
      </c>
      <c r="C18" s="63"/>
      <c r="D18" s="63"/>
    </row>
    <row r="19" s="61" customFormat="1" ht="12.75">
      <c r="F19" s="61" t="s">
        <v>42</v>
      </c>
    </row>
    <row r="20" spans="2:34" s="61" customFormat="1" ht="12.75">
      <c r="B20" s="61" t="s">
        <v>61</v>
      </c>
      <c r="C20" s="63"/>
      <c r="D20" s="63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2:34" s="61" customFormat="1" ht="12.75">
      <c r="B21" s="61" t="s">
        <v>62</v>
      </c>
      <c r="C21" s="63"/>
      <c r="D21" s="63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</sheetData>
  <sheetProtection/>
  <mergeCells count="39">
    <mergeCell ref="P7:P8"/>
    <mergeCell ref="T7:T8"/>
    <mergeCell ref="R7:R8"/>
    <mergeCell ref="AG7:AH7"/>
    <mergeCell ref="AA7:AA8"/>
    <mergeCell ref="AB7:AB8"/>
    <mergeCell ref="AC7:AC8"/>
    <mergeCell ref="AD7:AD8"/>
    <mergeCell ref="AE7:AE8"/>
    <mergeCell ref="I7:I8"/>
    <mergeCell ref="AF7:AF8"/>
    <mergeCell ref="K7:K8"/>
    <mergeCell ref="U7:U8"/>
    <mergeCell ref="V7:V8"/>
    <mergeCell ref="W7:X7"/>
    <mergeCell ref="Y7:Y8"/>
    <mergeCell ref="Z7:Z8"/>
    <mergeCell ref="M7:N7"/>
    <mergeCell ref="O7:O8"/>
    <mergeCell ref="B6:B9"/>
    <mergeCell ref="Q7:Q8"/>
    <mergeCell ref="D6:D9"/>
    <mergeCell ref="S7:S8"/>
    <mergeCell ref="O6:X6"/>
    <mergeCell ref="Y6:AH6"/>
    <mergeCell ref="E7:E8"/>
    <mergeCell ref="F7:F8"/>
    <mergeCell ref="G7:G8"/>
    <mergeCell ref="H7:H8"/>
    <mergeCell ref="C6:C9"/>
    <mergeCell ref="J7:J8"/>
    <mergeCell ref="E6:N6"/>
    <mergeCell ref="L7:L8"/>
    <mergeCell ref="W1:X1"/>
    <mergeCell ref="AG1:AH1"/>
    <mergeCell ref="A2:X2"/>
    <mergeCell ref="A3:X3"/>
    <mergeCell ref="A4:X4"/>
    <mergeCell ref="A6:A9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u041</dc:creator>
  <cp:keywords/>
  <dc:description/>
  <cp:lastModifiedBy>Мурашко Наталья Геннадьевна</cp:lastModifiedBy>
  <cp:lastPrinted>2015-02-20T09:16:25Z</cp:lastPrinted>
  <dcterms:created xsi:type="dcterms:W3CDTF">2007-01-25T02:09:11Z</dcterms:created>
  <dcterms:modified xsi:type="dcterms:W3CDTF">2018-11-09T01:52:31Z</dcterms:modified>
  <cp:category/>
  <cp:version/>
  <cp:contentType/>
  <cp:contentStatus/>
</cp:coreProperties>
</file>