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3" i="1"/>
  <c r="F53"/>
  <c r="G53"/>
  <c r="H53"/>
  <c r="I53"/>
  <c r="J53"/>
  <c r="K53"/>
  <c r="L53"/>
  <c r="M53"/>
  <c r="N53"/>
  <c r="O53"/>
  <c r="P53"/>
  <c r="Q53"/>
  <c r="E47"/>
  <c r="F47"/>
  <c r="G47"/>
  <c r="H47"/>
  <c r="I47"/>
  <c r="J47"/>
  <c r="K47"/>
  <c r="L47"/>
  <c r="M47"/>
  <c r="N47"/>
  <c r="O47"/>
  <c r="P47"/>
  <c r="Q47"/>
  <c r="E45"/>
  <c r="F45"/>
  <c r="G45"/>
  <c r="H45"/>
  <c r="I45"/>
  <c r="J45"/>
  <c r="K45"/>
  <c r="L45"/>
  <c r="M45"/>
  <c r="N45"/>
  <c r="O45"/>
  <c r="P45"/>
  <c r="Q45"/>
  <c r="E43"/>
  <c r="F43"/>
  <c r="G43"/>
  <c r="H43"/>
  <c r="I43"/>
  <c r="J43"/>
  <c r="K43"/>
  <c r="L43"/>
  <c r="M43"/>
  <c r="N43"/>
  <c r="O43"/>
  <c r="P43"/>
  <c r="Q43"/>
  <c r="E41"/>
  <c r="F41"/>
  <c r="G41"/>
  <c r="H41"/>
  <c r="I41"/>
  <c r="J41"/>
  <c r="K41"/>
  <c r="L41"/>
  <c r="M41"/>
  <c r="N41"/>
  <c r="O41"/>
  <c r="P41"/>
  <c r="Q41"/>
  <c r="E39"/>
  <c r="F39"/>
  <c r="G39"/>
  <c r="H39"/>
  <c r="I39"/>
  <c r="J39"/>
  <c r="K39"/>
  <c r="L39"/>
  <c r="M39"/>
  <c r="N39"/>
  <c r="O39"/>
  <c r="P39"/>
  <c r="Q39"/>
  <c r="D53"/>
  <c r="D47"/>
  <c r="D45"/>
  <c r="D43"/>
  <c r="D41"/>
  <c r="D39"/>
  <c r="E35"/>
  <c r="F35"/>
  <c r="G35"/>
  <c r="H35"/>
  <c r="I35"/>
  <c r="J35"/>
  <c r="K35"/>
  <c r="L35"/>
  <c r="M35"/>
  <c r="N35"/>
  <c r="O35"/>
  <c r="P35"/>
  <c r="Q35"/>
  <c r="E28"/>
  <c r="F28"/>
  <c r="G28"/>
  <c r="H28"/>
  <c r="I28"/>
  <c r="J28"/>
  <c r="K28"/>
  <c r="L28"/>
  <c r="M28"/>
  <c r="N28"/>
  <c r="O28"/>
  <c r="P28"/>
  <c r="Q28"/>
  <c r="E26"/>
  <c r="F26"/>
  <c r="G26"/>
  <c r="H26"/>
  <c r="I26"/>
  <c r="J26"/>
  <c r="K26"/>
  <c r="L26"/>
  <c r="M26"/>
  <c r="N26"/>
  <c r="O26"/>
  <c r="P26"/>
  <c r="Q26"/>
  <c r="E24"/>
  <c r="F24"/>
  <c r="G24"/>
  <c r="H24"/>
  <c r="I24"/>
  <c r="J24"/>
  <c r="K24"/>
  <c r="L24"/>
  <c r="M24"/>
  <c r="N24"/>
  <c r="O24"/>
  <c r="P24"/>
  <c r="Q24"/>
  <c r="E22"/>
  <c r="F22"/>
  <c r="G22"/>
  <c r="H22"/>
  <c r="I22"/>
  <c r="J22"/>
  <c r="K22"/>
  <c r="L22"/>
  <c r="M22"/>
  <c r="N22"/>
  <c r="O22"/>
  <c r="P22"/>
  <c r="Q22"/>
  <c r="E20"/>
  <c r="F20"/>
  <c r="G20"/>
  <c r="H20"/>
  <c r="I20"/>
  <c r="J20"/>
  <c r="K20"/>
  <c r="L20"/>
  <c r="M20"/>
  <c r="N20"/>
  <c r="O20"/>
  <c r="P20"/>
  <c r="Q20"/>
  <c r="E18"/>
  <c r="F18"/>
  <c r="G18"/>
  <c r="H18"/>
  <c r="I18"/>
  <c r="J18"/>
  <c r="K18"/>
  <c r="L18"/>
  <c r="M18"/>
  <c r="N18"/>
  <c r="O18"/>
  <c r="P18"/>
  <c r="Q18"/>
  <c r="E16"/>
  <c r="F16"/>
  <c r="G16"/>
  <c r="H16"/>
  <c r="I16"/>
  <c r="J16"/>
  <c r="K16"/>
  <c r="L16"/>
  <c r="M16"/>
  <c r="N16"/>
  <c r="O16"/>
  <c r="P16"/>
  <c r="Q16"/>
  <c r="E14"/>
  <c r="F14"/>
  <c r="G14"/>
  <c r="H14"/>
  <c r="I14"/>
  <c r="J14"/>
  <c r="K14"/>
  <c r="L14"/>
  <c r="M14"/>
  <c r="N14"/>
  <c r="O14"/>
  <c r="P14"/>
  <c r="Q14"/>
  <c r="D20"/>
  <c r="D35"/>
  <c r="D28"/>
  <c r="D26"/>
  <c r="D24"/>
  <c r="D22"/>
  <c r="D18"/>
  <c r="D16"/>
  <c r="D14"/>
  <c r="L50"/>
  <c r="L48"/>
  <c r="L46"/>
  <c r="L44"/>
  <c r="L42"/>
  <c r="L40"/>
  <c r="J50"/>
  <c r="J48"/>
  <c r="J46"/>
  <c r="J44"/>
  <c r="J42"/>
  <c r="J40"/>
  <c r="I50"/>
  <c r="I48"/>
  <c r="I46"/>
  <c r="I44"/>
  <c r="I42"/>
  <c r="I40"/>
  <c r="Q50"/>
  <c r="Q48"/>
  <c r="Q46"/>
  <c r="Q44"/>
  <c r="Q42"/>
  <c r="Q40"/>
  <c r="P50"/>
  <c r="P48"/>
  <c r="P46"/>
  <c r="P44"/>
  <c r="P42"/>
  <c r="P40"/>
  <c r="O50"/>
  <c r="O48"/>
  <c r="O46"/>
  <c r="O44"/>
  <c r="O42"/>
  <c r="O40"/>
  <c r="N50"/>
  <c r="N48"/>
  <c r="N46"/>
  <c r="N44"/>
  <c r="N42"/>
  <c r="N40"/>
  <c r="G50"/>
  <c r="G48"/>
  <c r="G46"/>
  <c r="G44"/>
  <c r="G42"/>
  <c r="G40"/>
  <c r="H50"/>
  <c r="H48"/>
  <c r="H46"/>
  <c r="H44"/>
  <c r="H42"/>
  <c r="H40"/>
  <c r="F48"/>
  <c r="F46"/>
  <c r="F44"/>
  <c r="F42"/>
  <c r="F40"/>
  <c r="D50"/>
  <c r="D48"/>
  <c r="D46"/>
  <c r="D44"/>
  <c r="D42"/>
  <c r="D40"/>
  <c r="E50"/>
  <c r="E48"/>
  <c r="E46"/>
  <c r="E44"/>
  <c r="E42"/>
  <c r="E40"/>
  <c r="D68" l="1"/>
  <c r="D63"/>
  <c r="E51"/>
  <c r="F51"/>
  <c r="G51"/>
  <c r="H51"/>
  <c r="I51"/>
  <c r="J51"/>
  <c r="K51"/>
  <c r="L51"/>
  <c r="M51"/>
  <c r="N51"/>
  <c r="O51"/>
  <c r="P51"/>
  <c r="Q51"/>
  <c r="D51"/>
  <c r="G49"/>
  <c r="F49"/>
  <c r="E49"/>
  <c r="H49"/>
  <c r="I49"/>
  <c r="J49"/>
  <c r="K49"/>
  <c r="L49"/>
  <c r="M49"/>
  <c r="N49"/>
  <c r="O49"/>
  <c r="P49"/>
  <c r="Q49"/>
  <c r="D49"/>
  <c r="D32"/>
  <c r="D33"/>
  <c r="D34"/>
  <c r="L62" l="1"/>
  <c r="L64" s="1"/>
  <c r="G62"/>
  <c r="G64" s="1"/>
  <c r="K62"/>
  <c r="K64" s="1"/>
  <c r="H67"/>
  <c r="H69" s="1"/>
  <c r="D67"/>
  <c r="P67"/>
  <c r="P69" s="1"/>
  <c r="L67"/>
  <c r="L69" s="1"/>
  <c r="O67"/>
  <c r="O69" s="1"/>
  <c r="G67"/>
  <c r="G69" s="1"/>
  <c r="Q67"/>
  <c r="Q69" s="1"/>
  <c r="M67"/>
  <c r="M69" s="1"/>
  <c r="I67"/>
  <c r="I69" s="1"/>
  <c r="E67"/>
  <c r="E69" s="1"/>
  <c r="N67"/>
  <c r="J67"/>
  <c r="F67"/>
  <c r="C32"/>
  <c r="K67" l="1"/>
  <c r="K69" s="1"/>
  <c r="K73" s="1"/>
  <c r="L72"/>
  <c r="L73"/>
  <c r="M62"/>
  <c r="M64" s="1"/>
  <c r="M73" s="1"/>
  <c r="I62"/>
  <c r="I64" s="1"/>
  <c r="I73" s="1"/>
  <c r="Q62"/>
  <c r="Q64" s="1"/>
  <c r="Q73" s="1"/>
  <c r="P62"/>
  <c r="O62"/>
  <c r="O64" s="1"/>
  <c r="O73" s="1"/>
  <c r="N62"/>
  <c r="N64" s="1"/>
  <c r="J62"/>
  <c r="J64" s="1"/>
  <c r="H62"/>
  <c r="F62"/>
  <c r="F64" s="1"/>
  <c r="E62"/>
  <c r="E64" s="1"/>
  <c r="E73" s="1"/>
  <c r="D62"/>
  <c r="D64" s="1"/>
  <c r="G73"/>
  <c r="F69"/>
  <c r="J69"/>
  <c r="D69"/>
  <c r="N69"/>
  <c r="G72"/>
  <c r="M72"/>
  <c r="C34"/>
  <c r="C33"/>
  <c r="I72" l="1"/>
  <c r="K72"/>
  <c r="Q72"/>
  <c r="P64"/>
  <c r="P73" s="1"/>
  <c r="P72"/>
  <c r="O72"/>
  <c r="N73"/>
  <c r="N72"/>
  <c r="J73"/>
  <c r="J72"/>
  <c r="H72"/>
  <c r="H64"/>
  <c r="H73" s="1"/>
  <c r="F73"/>
  <c r="F72"/>
  <c r="E72"/>
  <c r="D73"/>
  <c r="D72"/>
</calcChain>
</file>

<file path=xl/sharedStrings.xml><?xml version="1.0" encoding="utf-8"?>
<sst xmlns="http://schemas.openxmlformats.org/spreadsheetml/2006/main" count="121" uniqueCount="97">
  <si>
    <t xml:space="preserve">Устройство дорожного покрытия </t>
  </si>
  <si>
    <t xml:space="preserve">Работы </t>
  </si>
  <si>
    <t xml:space="preserve">Объем </t>
  </si>
  <si>
    <t xml:space="preserve">Установка  малых архитектурных форм </t>
  </si>
  <si>
    <t xml:space="preserve">Монтаж освещения на фасаде дома </t>
  </si>
  <si>
    <t xml:space="preserve">Установка бордюрного камня </t>
  </si>
  <si>
    <t xml:space="preserve">за 1 ед. </t>
  </si>
  <si>
    <t xml:space="preserve">Вид работ </t>
  </si>
  <si>
    <t xml:space="preserve">Процентное соотношение стоимости вида работ к общей сметной стоимости </t>
  </si>
  <si>
    <t xml:space="preserve">% от сметной стоимости с бордюрами </t>
  </si>
  <si>
    <t xml:space="preserve">% от сметной стоимости без бордюрами </t>
  </si>
  <si>
    <t xml:space="preserve">Стоимость работ, руб для Красноярска </t>
  </si>
  <si>
    <t xml:space="preserve">Стоимость работ, руб для       Норильска  </t>
  </si>
  <si>
    <t xml:space="preserve">Стоимость работ, руб для       Остальных территорий Таймырского ОА  </t>
  </si>
  <si>
    <t xml:space="preserve">Стоимость работ, руб для                       Туруханского района (Эвенкия) </t>
  </si>
  <si>
    <t xml:space="preserve">Стоимость работ, руб для Туруханска    </t>
  </si>
  <si>
    <t xml:space="preserve">Стоимость работ, руб для  Ачинска </t>
  </si>
  <si>
    <t>Стоимость работ, руб                                  для  Шарыпово</t>
  </si>
  <si>
    <t>Стоимость работ, руб                                         для   Канска</t>
  </si>
  <si>
    <t xml:space="preserve">Стоимость работ, руб                                            для Минусинска </t>
  </si>
  <si>
    <t xml:space="preserve">Стоимость работ, руб для Дудинки   </t>
  </si>
  <si>
    <t>Стоимость работ, руб                                  для пгт. Северо-Енисейска</t>
  </si>
  <si>
    <t xml:space="preserve">Стоимость работ, руб                                      для с. Богучаны </t>
  </si>
  <si>
    <t xml:space="preserve">Стоимость работ, руб                                  для г. Кодинск </t>
  </si>
  <si>
    <t>Стоимость работ, руб для г. Лесосибирска</t>
  </si>
  <si>
    <t>Установка урн</t>
  </si>
  <si>
    <t>Установка скамеек</t>
  </si>
  <si>
    <t xml:space="preserve">Установка светильника на фасад дома </t>
  </si>
  <si>
    <t>Прокладка  кабеля по фасаду дома</t>
  </si>
  <si>
    <t xml:space="preserve">Зоны сметного ценообразования </t>
  </si>
  <si>
    <t xml:space="preserve">Дополнительный перечень </t>
  </si>
  <si>
    <t xml:space="preserve">Установка качели двухместной </t>
  </si>
  <si>
    <t>Установка качели балансир</t>
  </si>
  <si>
    <t xml:space="preserve">Установка карусели </t>
  </si>
  <si>
    <t xml:space="preserve">Установка спортивного комплекса </t>
  </si>
  <si>
    <t xml:space="preserve">Установка восьмигранной беседки </t>
  </si>
  <si>
    <t>Перевозка на 30 км</t>
  </si>
  <si>
    <t xml:space="preserve">Минимальный перечень </t>
  </si>
  <si>
    <t>№ п/п</t>
  </si>
  <si>
    <t>Установка песочницы с крышкой и навесом</t>
  </si>
  <si>
    <t xml:space="preserve">Количетсво, шт </t>
  </si>
  <si>
    <t xml:space="preserve">Площадь помещений МКД  </t>
  </si>
  <si>
    <t xml:space="preserve">Площадь квартиры   </t>
  </si>
  <si>
    <t xml:space="preserve">Итого по минимальному перечню </t>
  </si>
  <si>
    <t xml:space="preserve">Итого по дополнительному  перечню </t>
  </si>
  <si>
    <t xml:space="preserve">Суммы софинансирования граждан  (2%) на весь МКД </t>
  </si>
  <si>
    <t xml:space="preserve">Доля в праве общей долевой собственности квартиры </t>
  </si>
  <si>
    <t xml:space="preserve">Суммы софинансирования граждан  (2%) для  квартиры </t>
  </si>
  <si>
    <t xml:space="preserve">Суммы софинансирования граждан  (20%) на весь МКД </t>
  </si>
  <si>
    <t xml:space="preserve">Суммы софинансирования граждан  (20%) для  квартиры </t>
  </si>
  <si>
    <t xml:space="preserve">Итого сумма софинансирования граждан </t>
  </si>
  <si>
    <t xml:space="preserve">Итого сумма софинансирования граждан для  квартиры </t>
  </si>
  <si>
    <t xml:space="preserve">Таблица 6.2 - Калькулятор расчета суммы финансового участия собственников </t>
  </si>
  <si>
    <t xml:space="preserve">Сумма софинансирования граждан по минимальному перечню </t>
  </si>
  <si>
    <t xml:space="preserve">Сумма софинансирования граждан по дополнительному перечню </t>
  </si>
  <si>
    <t xml:space="preserve">Сумма софинансирования граждан по минимальному и дополнительному перечню </t>
  </si>
  <si>
    <t xml:space="preserve">Итого по минимальному и  дополнительному  перечням </t>
  </si>
  <si>
    <t>Размер дома (ширина х длина)</t>
  </si>
  <si>
    <t xml:space="preserve">Этажность </t>
  </si>
  <si>
    <t xml:space="preserve">Количество квартир </t>
  </si>
  <si>
    <t xml:space="preserve">Количество подъездов </t>
  </si>
  <si>
    <t xml:space="preserve">Площадь помещений МКД </t>
  </si>
  <si>
    <t xml:space="preserve">Площадь придомовой территории </t>
  </si>
  <si>
    <t xml:space="preserve">Площадь входа в подъезд </t>
  </si>
  <si>
    <t>12м х 40м</t>
  </si>
  <si>
    <t xml:space="preserve">642 кв.м </t>
  </si>
  <si>
    <t>200 кв.м                    (5м х 40м)</t>
  </si>
  <si>
    <t>10 кв.м.                     (2,5м х 2м)</t>
  </si>
  <si>
    <t>Демонтаж бордюрного камня</t>
  </si>
  <si>
    <t xml:space="preserve">Разборка покрытий асфальтобетонных </t>
  </si>
  <si>
    <t>Асфальтирование,                    t = 8 см</t>
  </si>
  <si>
    <t>Устройство песчаного основания (с учетом дренажного слоя из щебня)  под детскую/ спортивную площадку</t>
  </si>
  <si>
    <t>Площаль асфальтирования</t>
  </si>
  <si>
    <t>Длина бордюрного камня</t>
  </si>
  <si>
    <t>Количество урн</t>
  </si>
  <si>
    <t>Количество скамеек</t>
  </si>
  <si>
    <t xml:space="preserve">Количество светильников </t>
  </si>
  <si>
    <t xml:space="preserve">Площадь детской / спортивной площадки </t>
  </si>
  <si>
    <t>210 кв.м</t>
  </si>
  <si>
    <t>76 м.п.</t>
  </si>
  <si>
    <t>2 шт.</t>
  </si>
  <si>
    <t xml:space="preserve">2 шт. </t>
  </si>
  <si>
    <t>100 кв.м</t>
  </si>
  <si>
    <t>Таблица 1.1 - Расчет стоимости благоустройства дворовой территории  дома по минимальному и дополнительному перечням для зон сметного ценообразования Красноярского края</t>
  </si>
  <si>
    <t xml:space="preserve">Параметры многоквартирного дома </t>
  </si>
  <si>
    <t xml:space="preserve">Параметры видов работ по благоустройству </t>
  </si>
  <si>
    <t>%</t>
  </si>
  <si>
    <t xml:space="preserve">76 м.п. </t>
  </si>
  <si>
    <t xml:space="preserve"> 210 м2                 </t>
  </si>
  <si>
    <t xml:space="preserve">210 м2                 </t>
  </si>
  <si>
    <t xml:space="preserve">2 ед. </t>
  </si>
  <si>
    <t xml:space="preserve"> 50 м.п. </t>
  </si>
  <si>
    <t>220 тонн</t>
  </si>
  <si>
    <t xml:space="preserve">1 ед. </t>
  </si>
  <si>
    <t xml:space="preserve"> 1 ед. </t>
  </si>
  <si>
    <t>0,3 тонн</t>
  </si>
  <si>
    <t xml:space="preserve">100  м2                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</si>
</sst>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000000000"/>
  </numFmts>
  <fonts count="6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Border="1" applyAlignment="1"/>
    <xf numFmtId="4" fontId="2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3" fillId="3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/>
    <xf numFmtId="0" fontId="1" fillId="6" borderId="1" xfId="0" applyFont="1" applyFill="1" applyBorder="1" applyAlignment="1">
      <alignment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9" fontId="0" fillId="6" borderId="1" xfId="0" applyNumberFormat="1" applyFill="1" applyBorder="1"/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0" fillId="6" borderId="4" xfId="0" applyFill="1" applyBorder="1" applyAlignment="1">
      <alignment wrapText="1"/>
    </xf>
    <xf numFmtId="0" fontId="0" fillId="6" borderId="4" xfId="0" applyFill="1" applyBorder="1"/>
    <xf numFmtId="10" fontId="2" fillId="0" borderId="4" xfId="0" applyNumberFormat="1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9" fontId="0" fillId="0" borderId="0" xfId="0" applyNumberFormat="1" applyBorder="1"/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3" fontId="2" fillId="0" borderId="7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8"/>
  <sheetViews>
    <sheetView showGridLines="0" tabSelected="1" view="pageBreakPreview" zoomScale="70" zoomScaleNormal="70" zoomScaleSheetLayoutView="70" workbookViewId="0">
      <selection activeCell="L20" sqref="L20"/>
    </sheetView>
  </sheetViews>
  <sheetFormatPr defaultRowHeight="15"/>
  <cols>
    <col min="1" max="1" width="7" customWidth="1"/>
    <col min="2" max="2" width="28.5703125" customWidth="1"/>
    <col min="3" max="3" width="22.42578125" customWidth="1"/>
    <col min="4" max="4" width="24.28515625" customWidth="1"/>
    <col min="5" max="5" width="20.42578125" customWidth="1"/>
    <col min="6" max="6" width="18.42578125" customWidth="1"/>
    <col min="7" max="7" width="22.7109375" customWidth="1"/>
    <col min="8" max="8" width="23.7109375" customWidth="1"/>
    <col min="9" max="9" width="20.7109375" customWidth="1"/>
    <col min="10" max="10" width="24.7109375" customWidth="1"/>
    <col min="11" max="11" width="20.7109375" hidden="1" customWidth="1"/>
    <col min="12" max="12" width="23.42578125" customWidth="1"/>
    <col min="13" max="13" width="20.7109375" hidden="1" customWidth="1"/>
    <col min="14" max="14" width="22.7109375" customWidth="1"/>
    <col min="15" max="15" width="25.5703125" customWidth="1"/>
    <col min="16" max="16" width="23.28515625" customWidth="1"/>
    <col min="17" max="17" width="23.140625" customWidth="1"/>
  </cols>
  <sheetData>
    <row r="1" spans="1:17" ht="62.25" customHeight="1">
      <c r="A1" s="61" t="s">
        <v>83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36.75" customHeight="1">
      <c r="A2" s="40"/>
      <c r="B2" s="76" t="s">
        <v>84</v>
      </c>
      <c r="C2" s="76"/>
      <c r="D2" s="76"/>
      <c r="E2" s="76"/>
      <c r="F2" s="76"/>
      <c r="G2" s="76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77.25" customHeight="1">
      <c r="B3" s="23" t="s">
        <v>57</v>
      </c>
      <c r="C3" s="23" t="s">
        <v>58</v>
      </c>
      <c r="D3" s="23" t="s">
        <v>59</v>
      </c>
      <c r="E3" s="23" t="s">
        <v>60</v>
      </c>
      <c r="F3" s="23" t="s">
        <v>61</v>
      </c>
      <c r="G3" s="23" t="s">
        <v>62</v>
      </c>
      <c r="H3" s="23" t="s">
        <v>63</v>
      </c>
      <c r="I3" s="22"/>
      <c r="J3" s="22"/>
      <c r="K3" s="22"/>
      <c r="L3" s="22"/>
      <c r="M3" s="22"/>
      <c r="N3" s="22"/>
      <c r="O3" s="22"/>
      <c r="P3" s="22"/>
      <c r="Q3" s="22"/>
    </row>
    <row r="4" spans="1:17" ht="77.25" customHeight="1">
      <c r="B4" s="4" t="s">
        <v>64</v>
      </c>
      <c r="C4" s="4">
        <v>2</v>
      </c>
      <c r="D4" s="4">
        <v>16</v>
      </c>
      <c r="E4" s="4">
        <v>2</v>
      </c>
      <c r="F4" s="5" t="s">
        <v>65</v>
      </c>
      <c r="G4" s="4" t="s">
        <v>66</v>
      </c>
      <c r="H4" s="4" t="s">
        <v>67</v>
      </c>
      <c r="I4" s="22"/>
      <c r="J4" s="22"/>
      <c r="K4" s="22"/>
      <c r="L4" s="22"/>
      <c r="M4" s="22"/>
      <c r="N4" s="22"/>
      <c r="O4" s="22"/>
      <c r="P4" s="22"/>
      <c r="Q4" s="22"/>
    </row>
    <row r="5" spans="1:17" ht="40.5" customHeight="1">
      <c r="B5" s="77" t="s">
        <v>85</v>
      </c>
      <c r="C5" s="77"/>
      <c r="D5" s="77"/>
      <c r="E5" s="77"/>
      <c r="F5" s="77"/>
      <c r="G5" s="77"/>
      <c r="H5" s="38"/>
      <c r="I5" s="22"/>
      <c r="J5" s="22"/>
      <c r="K5" s="22"/>
      <c r="L5" s="22"/>
      <c r="M5" s="22"/>
      <c r="N5" s="22"/>
      <c r="O5" s="22"/>
      <c r="P5" s="22"/>
      <c r="Q5" s="22"/>
    </row>
    <row r="6" spans="1:17" ht="77.25" customHeight="1">
      <c r="B6" s="27" t="s">
        <v>72</v>
      </c>
      <c r="C6" s="27" t="s">
        <v>73</v>
      </c>
      <c r="D6" s="27" t="s">
        <v>74</v>
      </c>
      <c r="E6" s="27" t="s">
        <v>75</v>
      </c>
      <c r="F6" s="27" t="s">
        <v>76</v>
      </c>
      <c r="G6" s="27" t="s">
        <v>77</v>
      </c>
      <c r="H6" s="38"/>
      <c r="I6" s="22"/>
      <c r="J6" s="22"/>
      <c r="K6" s="22"/>
      <c r="L6" s="22"/>
      <c r="M6" s="22"/>
      <c r="N6" s="22"/>
      <c r="O6" s="22"/>
      <c r="P6" s="22"/>
      <c r="Q6" s="22"/>
    </row>
    <row r="7" spans="1:17" ht="64.5" customHeight="1">
      <c r="B7" s="4" t="s">
        <v>78</v>
      </c>
      <c r="C7" s="4" t="s">
        <v>79</v>
      </c>
      <c r="D7" s="4" t="s">
        <v>80</v>
      </c>
      <c r="E7" s="4" t="s">
        <v>80</v>
      </c>
      <c r="F7" s="4" t="s">
        <v>81</v>
      </c>
      <c r="G7" s="4" t="s">
        <v>82</v>
      </c>
      <c r="H7" s="38"/>
      <c r="I7" s="22"/>
      <c r="J7" s="22"/>
      <c r="K7" s="22"/>
      <c r="L7" s="22"/>
      <c r="M7" s="22"/>
      <c r="N7" s="22"/>
      <c r="O7" s="22"/>
      <c r="P7" s="22"/>
      <c r="Q7" s="22"/>
    </row>
    <row r="8" spans="1:17" ht="27" customHeight="1">
      <c r="B8" s="38"/>
      <c r="C8" s="38"/>
      <c r="D8" s="38"/>
      <c r="E8" s="38"/>
      <c r="F8" s="38"/>
      <c r="G8" s="38"/>
      <c r="H8" s="38"/>
      <c r="I8" s="22"/>
      <c r="J8" s="22"/>
      <c r="K8" s="22"/>
      <c r="L8" s="22"/>
      <c r="M8" s="22"/>
      <c r="N8" s="22"/>
      <c r="O8" s="22"/>
      <c r="P8" s="22"/>
      <c r="Q8" s="22"/>
    </row>
    <row r="9" spans="1:17" ht="77.25" customHeight="1">
      <c r="A9" s="79" t="s">
        <v>38</v>
      </c>
      <c r="B9" s="81" t="s">
        <v>1</v>
      </c>
      <c r="C9" s="81" t="s">
        <v>29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pans="1:17" ht="112.5">
      <c r="A10" s="79"/>
      <c r="B10" s="81"/>
      <c r="C10" s="27" t="s">
        <v>2</v>
      </c>
      <c r="D10" s="27" t="s">
        <v>11</v>
      </c>
      <c r="E10" s="27" t="s">
        <v>16</v>
      </c>
      <c r="F10" s="27" t="s">
        <v>18</v>
      </c>
      <c r="G10" s="27" t="s">
        <v>17</v>
      </c>
      <c r="H10" s="27" t="s">
        <v>19</v>
      </c>
      <c r="I10" s="27" t="s">
        <v>12</v>
      </c>
      <c r="J10" s="27" t="s">
        <v>20</v>
      </c>
      <c r="K10" s="27" t="s">
        <v>13</v>
      </c>
      <c r="L10" s="27" t="s">
        <v>15</v>
      </c>
      <c r="M10" s="27" t="s">
        <v>14</v>
      </c>
      <c r="N10" s="27" t="s">
        <v>21</v>
      </c>
      <c r="O10" s="27" t="s">
        <v>24</v>
      </c>
      <c r="P10" s="27" t="s">
        <v>22</v>
      </c>
      <c r="Q10" s="27" t="s">
        <v>23</v>
      </c>
    </row>
    <row r="11" spans="1:17" ht="18.7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s="9" customFormat="1" ht="26.25" customHeight="1">
      <c r="A12" s="80" t="s">
        <v>37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</row>
    <row r="13" spans="1:17" s="9" customFormat="1" ht="38.25" customHeight="1">
      <c r="A13" s="60">
        <v>1</v>
      </c>
      <c r="B13" s="70" t="s">
        <v>68</v>
      </c>
      <c r="C13" s="55" t="s">
        <v>87</v>
      </c>
      <c r="D13" s="6">
        <v>24027.399999999998</v>
      </c>
      <c r="E13" s="6">
        <v>23613.200000000001</v>
      </c>
      <c r="F13" s="6">
        <v>24295.68</v>
      </c>
      <c r="G13" s="6">
        <v>24285.040000000001</v>
      </c>
      <c r="H13" s="6">
        <v>24175.600000000002</v>
      </c>
      <c r="I13" s="6">
        <v>25247.96</v>
      </c>
      <c r="J13" s="6">
        <v>25773.119999999999</v>
      </c>
      <c r="K13" s="6">
        <v>0</v>
      </c>
      <c r="L13" s="6">
        <v>30337.68</v>
      </c>
      <c r="M13" s="37"/>
      <c r="N13" s="6">
        <v>30244.959999999999</v>
      </c>
      <c r="O13" s="6">
        <v>27312.880000000001</v>
      </c>
      <c r="P13" s="6">
        <v>30970</v>
      </c>
      <c r="Q13" s="6">
        <v>28142.799999999999</v>
      </c>
    </row>
    <row r="14" spans="1:17" s="9" customFormat="1" ht="26.25" customHeight="1">
      <c r="A14" s="60"/>
      <c r="B14" s="70"/>
      <c r="C14" s="55" t="s">
        <v>86</v>
      </c>
      <c r="D14" s="41">
        <f>D13/D36</f>
        <v>8.6205479989733172E-2</v>
      </c>
      <c r="E14" s="41">
        <f t="shared" ref="E14:Q14" si="0">E13/E36</f>
        <v>5.2299490307433708E-2</v>
      </c>
      <c r="F14" s="41">
        <f t="shared" si="0"/>
        <v>4.9654236743875223E-2</v>
      </c>
      <c r="G14" s="41">
        <f t="shared" si="0"/>
        <v>4.8514011386760106E-2</v>
      </c>
      <c r="H14" s="41">
        <f t="shared" si="0"/>
        <v>4.9141385618117643E-2</v>
      </c>
      <c r="I14" s="41">
        <f t="shared" si="0"/>
        <v>2.6110144113166638E-2</v>
      </c>
      <c r="J14" s="41">
        <f t="shared" si="0"/>
        <v>2.6130318315737939E-2</v>
      </c>
      <c r="K14" s="41">
        <f t="shared" si="0"/>
        <v>0</v>
      </c>
      <c r="L14" s="41">
        <f t="shared" si="0"/>
        <v>2.5684326293303028E-2</v>
      </c>
      <c r="M14" s="41">
        <f t="shared" si="0"/>
        <v>0</v>
      </c>
      <c r="N14" s="41">
        <f t="shared" si="0"/>
        <v>3.2830558900488638E-2</v>
      </c>
      <c r="O14" s="41">
        <f t="shared" si="0"/>
        <v>4.8635555918972992E-2</v>
      </c>
      <c r="P14" s="41">
        <f t="shared" si="0"/>
        <v>4.8432767561874771E-2</v>
      </c>
      <c r="Q14" s="41">
        <f t="shared" si="0"/>
        <v>4.2642247141026331E-2</v>
      </c>
    </row>
    <row r="15" spans="1:17" s="9" customFormat="1" ht="48.75" customHeight="1">
      <c r="A15" s="78">
        <v>2</v>
      </c>
      <c r="B15" s="78" t="s">
        <v>69</v>
      </c>
      <c r="C15" s="55" t="s">
        <v>88</v>
      </c>
      <c r="D15" s="4">
        <v>21094.5</v>
      </c>
      <c r="E15" s="4">
        <v>20718.599999999999</v>
      </c>
      <c r="F15" s="4">
        <v>21392.7</v>
      </c>
      <c r="G15" s="4">
        <v>21392.7</v>
      </c>
      <c r="H15" s="4">
        <v>21304.5</v>
      </c>
      <c r="I15" s="4">
        <v>22344</v>
      </c>
      <c r="J15" s="4">
        <v>22808.1</v>
      </c>
      <c r="K15" s="25">
        <v>0</v>
      </c>
      <c r="L15" s="35">
        <v>27090</v>
      </c>
      <c r="M15" s="24"/>
      <c r="N15" s="4">
        <v>26947.199999999997</v>
      </c>
      <c r="O15" s="4">
        <v>24263.4</v>
      </c>
      <c r="P15" s="4">
        <v>27541.5</v>
      </c>
      <c r="Q15" s="4">
        <v>25076.1</v>
      </c>
    </row>
    <row r="16" spans="1:17" s="9" customFormat="1" ht="35.25" customHeight="1">
      <c r="A16" s="78"/>
      <c r="B16" s="78"/>
      <c r="C16" s="55" t="s">
        <v>86</v>
      </c>
      <c r="D16" s="41">
        <f>D15/D36</f>
        <v>7.5682824510493296E-2</v>
      </c>
      <c r="E16" s="41">
        <f t="shared" ref="E16:Q16" si="1">E15/E36</f>
        <v>4.5888410714498493E-2</v>
      </c>
      <c r="F16" s="41">
        <f t="shared" si="1"/>
        <v>4.3721278449119327E-2</v>
      </c>
      <c r="G16" s="41">
        <f t="shared" si="1"/>
        <v>4.2736009139517292E-2</v>
      </c>
      <c r="H16" s="41">
        <f t="shared" si="1"/>
        <v>4.3305342986365888E-2</v>
      </c>
      <c r="I16" s="41">
        <f t="shared" si="1"/>
        <v>2.3107017757656275E-2</v>
      </c>
      <c r="J16" s="41">
        <f t="shared" si="1"/>
        <v>2.3124205108934519E-2</v>
      </c>
      <c r="K16" s="41">
        <f t="shared" si="1"/>
        <v>0</v>
      </c>
      <c r="L16" s="41">
        <f t="shared" si="1"/>
        <v>2.2934792617153948E-2</v>
      </c>
      <c r="M16" s="41">
        <f t="shared" si="1"/>
        <v>0</v>
      </c>
      <c r="N16" s="41">
        <f t="shared" si="1"/>
        <v>2.9250878057145633E-2</v>
      </c>
      <c r="O16" s="41">
        <f t="shared" si="1"/>
        <v>4.320540153526136E-2</v>
      </c>
      <c r="P16" s="41">
        <f t="shared" si="1"/>
        <v>4.3071070965623959E-2</v>
      </c>
      <c r="Q16" s="41">
        <f t="shared" si="1"/>
        <v>3.7995553162197444E-2</v>
      </c>
    </row>
    <row r="17" spans="1:17" ht="40.15" customHeight="1">
      <c r="A17" s="60">
        <v>3</v>
      </c>
      <c r="B17" s="70" t="s">
        <v>70</v>
      </c>
      <c r="C17" s="55" t="s">
        <v>89</v>
      </c>
      <c r="D17" s="7">
        <v>45423</v>
      </c>
      <c r="E17" s="7">
        <v>222453</v>
      </c>
      <c r="F17" s="7">
        <v>253827</v>
      </c>
      <c r="G17" s="7">
        <v>267191.39999999997</v>
      </c>
      <c r="H17" s="6">
        <v>255412.5</v>
      </c>
      <c r="I17" s="6">
        <v>679614.60000000009</v>
      </c>
      <c r="J17" s="7">
        <v>693756</v>
      </c>
      <c r="K17" s="7">
        <v>93361.8</v>
      </c>
      <c r="L17" s="7">
        <v>831629.4</v>
      </c>
      <c r="M17" s="8">
        <v>373999.5</v>
      </c>
      <c r="N17" s="8">
        <v>605539.19999999995</v>
      </c>
      <c r="O17" s="8">
        <v>306205.19999999995</v>
      </c>
      <c r="P17" s="8">
        <v>346434.9</v>
      </c>
      <c r="Q17" s="8">
        <v>382431</v>
      </c>
    </row>
    <row r="18" spans="1:17" ht="40.15" customHeight="1">
      <c r="A18" s="60"/>
      <c r="B18" s="70"/>
      <c r="C18" s="55" t="s">
        <v>86</v>
      </c>
      <c r="D18" s="42">
        <f>D17/D36</f>
        <v>0.16296859075778694</v>
      </c>
      <c r="E18" s="42">
        <f t="shared" ref="E18:Q18" si="2">E17/E36</f>
        <v>0.49269808909252238</v>
      </c>
      <c r="F18" s="42">
        <f t="shared" si="2"/>
        <v>0.51875831217679913</v>
      </c>
      <c r="G18" s="42">
        <f t="shared" si="2"/>
        <v>0.53376591605549639</v>
      </c>
      <c r="H18" s="42">
        <f t="shared" si="2"/>
        <v>0.51917322234763441</v>
      </c>
      <c r="I18" s="42">
        <f t="shared" si="2"/>
        <v>0.70282253090594649</v>
      </c>
      <c r="J18" s="42">
        <f t="shared" si="2"/>
        <v>0.70337099712619544</v>
      </c>
      <c r="K18" s="42">
        <f t="shared" si="2"/>
        <v>0.37148421795485159</v>
      </c>
      <c r="L18" s="42">
        <f t="shared" si="2"/>
        <v>0.7040696870922174</v>
      </c>
      <c r="M18" s="42">
        <f t="shared" si="2"/>
        <v>0.67085018248763706</v>
      </c>
      <c r="N18" s="42">
        <f t="shared" si="2"/>
        <v>0.65730589070558432</v>
      </c>
      <c r="O18" s="42">
        <f t="shared" si="2"/>
        <v>0.54525411187982753</v>
      </c>
      <c r="P18" s="42">
        <f t="shared" si="2"/>
        <v>0.54177594404331064</v>
      </c>
      <c r="Q18" s="42">
        <f t="shared" si="2"/>
        <v>0.57946320964473474</v>
      </c>
    </row>
    <row r="19" spans="1:17" s="1" customFormat="1" ht="42.75" customHeight="1">
      <c r="A19" s="62">
        <v>4</v>
      </c>
      <c r="B19" s="78" t="s">
        <v>5</v>
      </c>
      <c r="C19" s="55" t="s">
        <v>87</v>
      </c>
      <c r="D19" s="7">
        <v>81729.639999999985</v>
      </c>
      <c r="E19" s="7">
        <v>79434.44</v>
      </c>
      <c r="F19" s="6">
        <v>81776</v>
      </c>
      <c r="G19" s="6">
        <v>79867.639999999985</v>
      </c>
      <c r="H19" s="6">
        <v>83731.48</v>
      </c>
      <c r="I19" s="6">
        <v>94065.2</v>
      </c>
      <c r="J19" s="7">
        <v>95291.840000000011</v>
      </c>
      <c r="K19" s="7">
        <v>86857.360000000015</v>
      </c>
      <c r="L19" s="6">
        <v>121204.04</v>
      </c>
      <c r="M19" s="4">
        <v>107549.12</v>
      </c>
      <c r="N19" s="4">
        <v>114775.96</v>
      </c>
      <c r="O19" s="4">
        <v>87086.88</v>
      </c>
      <c r="P19" s="4">
        <v>104694.56</v>
      </c>
      <c r="Q19" s="4">
        <v>97477.599999999991</v>
      </c>
    </row>
    <row r="20" spans="1:17" s="1" customFormat="1" ht="42.75" customHeight="1">
      <c r="A20" s="62"/>
      <c r="B20" s="78"/>
      <c r="C20" s="55" t="s">
        <v>86</v>
      </c>
      <c r="D20" s="42">
        <f>D19/D36</f>
        <v>0.29322951487002735</v>
      </c>
      <c r="E20" s="42">
        <f t="shared" ref="E20:Q20" si="3">E19/E36</f>
        <v>0.17593467742010505</v>
      </c>
      <c r="F20" s="42">
        <f t="shared" si="3"/>
        <v>0.16712950055183226</v>
      </c>
      <c r="G20" s="42">
        <f t="shared" si="3"/>
        <v>0.15955088385251398</v>
      </c>
      <c r="H20" s="42">
        <f t="shared" si="3"/>
        <v>0.17019974466220919</v>
      </c>
      <c r="I20" s="42">
        <f t="shared" si="3"/>
        <v>9.7277400947793108E-2</v>
      </c>
      <c r="J20" s="42">
        <f t="shared" si="3"/>
        <v>9.6612521576447466E-2</v>
      </c>
      <c r="K20" s="42">
        <f t="shared" si="3"/>
        <v>0.34560321730325483</v>
      </c>
      <c r="L20" s="42">
        <f t="shared" si="3"/>
        <v>0.10261312372688194</v>
      </c>
      <c r="M20" s="42">
        <f t="shared" si="3"/>
        <v>0.19291294982582802</v>
      </c>
      <c r="N20" s="42">
        <f t="shared" si="3"/>
        <v>0.12458799466556175</v>
      </c>
      <c r="O20" s="42">
        <f t="shared" si="3"/>
        <v>0.15507404645899261</v>
      </c>
      <c r="P20" s="42">
        <f t="shared" si="3"/>
        <v>0.16372771357677596</v>
      </c>
      <c r="Q20" s="42">
        <f t="shared" si="3"/>
        <v>0.14769901750764344</v>
      </c>
    </row>
    <row r="21" spans="1:17" ht="30.75" customHeight="1">
      <c r="A21" s="60">
        <v>3</v>
      </c>
      <c r="B21" s="70" t="s">
        <v>26</v>
      </c>
      <c r="C21" s="54" t="s">
        <v>90</v>
      </c>
      <c r="D21" s="8">
        <v>15654.36</v>
      </c>
      <c r="E21" s="7">
        <v>15564.7</v>
      </c>
      <c r="F21" s="7">
        <v>15560.02</v>
      </c>
      <c r="G21" s="7">
        <v>15507.68</v>
      </c>
      <c r="H21" s="4">
        <v>15549.86</v>
      </c>
      <c r="I21" s="7">
        <v>15919.64</v>
      </c>
      <c r="J21" s="8">
        <v>16051.54</v>
      </c>
      <c r="K21" s="7">
        <v>21502.7</v>
      </c>
      <c r="L21" s="7">
        <v>17128.439999999999</v>
      </c>
      <c r="M21" s="7">
        <v>22115.08</v>
      </c>
      <c r="N21" s="7">
        <v>17020.2</v>
      </c>
      <c r="O21" s="8">
        <v>16052.2</v>
      </c>
      <c r="P21" s="7">
        <v>17081.18</v>
      </c>
      <c r="Q21" s="7">
        <v>16325.16</v>
      </c>
    </row>
    <row r="22" spans="1:17" ht="30.75" customHeight="1">
      <c r="A22" s="60"/>
      <c r="B22" s="70"/>
      <c r="C22" s="55" t="s">
        <v>86</v>
      </c>
      <c r="D22" s="42">
        <f>D21/D36</f>
        <v>5.6164696044186203E-2</v>
      </c>
      <c r="E22" s="42">
        <f t="shared" ref="E22:Q22" si="4">E21/E36</f>
        <v>3.4473340199046014E-2</v>
      </c>
      <c r="F22" s="42">
        <f t="shared" si="4"/>
        <v>3.1800752924776479E-2</v>
      </c>
      <c r="G22" s="42">
        <f t="shared" si="4"/>
        <v>3.0979556307184668E-2</v>
      </c>
      <c r="H22" s="42">
        <f t="shared" si="4"/>
        <v>3.1607971118307002E-2</v>
      </c>
      <c r="I22" s="42">
        <f t="shared" si="4"/>
        <v>1.6463274443944464E-2</v>
      </c>
      <c r="J22" s="42">
        <f t="shared" si="4"/>
        <v>1.6274003677389473E-2</v>
      </c>
      <c r="K22" s="42">
        <f t="shared" si="4"/>
        <v>8.5558694170611405E-2</v>
      </c>
      <c r="L22" s="42">
        <f t="shared" si="4"/>
        <v>1.4501189341283291E-2</v>
      </c>
      <c r="M22" s="42">
        <f t="shared" si="4"/>
        <v>3.9668249432763127E-2</v>
      </c>
      <c r="N22" s="42">
        <f t="shared" si="4"/>
        <v>1.8475232851956055E-2</v>
      </c>
      <c r="O22" s="42">
        <f t="shared" si="4"/>
        <v>2.8583864855062455E-2</v>
      </c>
      <c r="P22" s="42">
        <f t="shared" si="4"/>
        <v>2.6712587039798001E-2</v>
      </c>
      <c r="Q22" s="42">
        <f t="shared" si="4"/>
        <v>2.4736042871952947E-2</v>
      </c>
    </row>
    <row r="23" spans="1:17" ht="25.9" customHeight="1">
      <c r="A23" s="60">
        <v>4</v>
      </c>
      <c r="B23" s="70" t="s">
        <v>25</v>
      </c>
      <c r="C23" s="54" t="s">
        <v>90</v>
      </c>
      <c r="D23" s="6">
        <v>12374.36</v>
      </c>
      <c r="E23" s="6">
        <v>12284.7</v>
      </c>
      <c r="F23" s="6">
        <v>12280.02</v>
      </c>
      <c r="G23" s="6">
        <v>12227.68</v>
      </c>
      <c r="H23" s="6">
        <v>12269.86</v>
      </c>
      <c r="I23" s="7">
        <v>12639.64</v>
      </c>
      <c r="J23" s="6">
        <v>12771.54</v>
      </c>
      <c r="K23" s="6">
        <v>13002.7</v>
      </c>
      <c r="L23" s="6">
        <v>13848.64</v>
      </c>
      <c r="M23" s="6">
        <v>13615.08</v>
      </c>
      <c r="N23" s="6">
        <v>13920.2</v>
      </c>
      <c r="O23" s="6">
        <v>12772.2</v>
      </c>
      <c r="P23" s="6">
        <v>13801.18</v>
      </c>
      <c r="Q23" s="6">
        <v>13045.16</v>
      </c>
    </row>
    <row r="24" spans="1:17" ht="25.9" customHeight="1">
      <c r="A24" s="60"/>
      <c r="B24" s="70"/>
      <c r="C24" s="55" t="s">
        <v>86</v>
      </c>
      <c r="D24" s="41">
        <f>D23/D36</f>
        <v>4.4396715556645941E-2</v>
      </c>
      <c r="E24" s="41">
        <f t="shared" ref="E24:Q24" si="5">E23/E36</f>
        <v>2.7208660773623689E-2</v>
      </c>
      <c r="F24" s="41">
        <f t="shared" si="5"/>
        <v>2.5097260924556244E-2</v>
      </c>
      <c r="G24" s="41">
        <f t="shared" si="5"/>
        <v>2.442712907838154E-2</v>
      </c>
      <c r="H24" s="41">
        <f t="shared" si="5"/>
        <v>2.4940763486338162E-2</v>
      </c>
      <c r="I24" s="41">
        <f t="shared" si="5"/>
        <v>1.3071266824668035E-2</v>
      </c>
      <c r="J24" s="41">
        <f t="shared" si="5"/>
        <v>1.2948545057105222E-2</v>
      </c>
      <c r="K24" s="41">
        <f t="shared" si="5"/>
        <v>5.1737411241016662E-2</v>
      </c>
      <c r="L24" s="41">
        <f t="shared" si="5"/>
        <v>1.1724462400502874E-2</v>
      </c>
      <c r="M24" s="41">
        <f t="shared" si="5"/>
        <v>2.4421633993050196E-2</v>
      </c>
      <c r="N24" s="41">
        <f t="shared" si="5"/>
        <v>1.5110218231618821E-2</v>
      </c>
      <c r="O24" s="41">
        <f t="shared" si="5"/>
        <v>2.2743227638693058E-2</v>
      </c>
      <c r="P24" s="41">
        <f t="shared" si="5"/>
        <v>2.1583123765566509E-2</v>
      </c>
      <c r="Q24" s="41">
        <f t="shared" si="5"/>
        <v>1.9766154636860263E-2</v>
      </c>
    </row>
    <row r="25" spans="1:17" ht="44.25" customHeight="1">
      <c r="A25" s="60">
        <v>5</v>
      </c>
      <c r="B25" s="70" t="s">
        <v>27</v>
      </c>
      <c r="C25" s="54" t="s">
        <v>90</v>
      </c>
      <c r="D25" s="6">
        <v>10916.96</v>
      </c>
      <c r="E25" s="6">
        <v>10904.98</v>
      </c>
      <c r="F25" s="6">
        <v>10866.1</v>
      </c>
      <c r="G25" s="6">
        <v>10838.42</v>
      </c>
      <c r="H25" s="6">
        <v>10845.38</v>
      </c>
      <c r="I25" s="7">
        <v>10522.12</v>
      </c>
      <c r="J25" s="6">
        <v>11060.98</v>
      </c>
      <c r="K25" s="6">
        <v>10075.48</v>
      </c>
      <c r="L25" s="6">
        <v>11383.64</v>
      </c>
      <c r="M25" s="6">
        <v>10249.5</v>
      </c>
      <c r="N25" s="6">
        <v>11361.62</v>
      </c>
      <c r="O25" s="6">
        <v>11093.6</v>
      </c>
      <c r="P25" s="6">
        <v>11458.9</v>
      </c>
      <c r="Q25" s="6">
        <v>11141.48</v>
      </c>
    </row>
    <row r="26" spans="1:17" ht="44.25" customHeight="1">
      <c r="A26" s="60"/>
      <c r="B26" s="70"/>
      <c r="C26" s="55" t="s">
        <v>86</v>
      </c>
      <c r="D26" s="41">
        <f>D25/D36</f>
        <v>3.9167857397334603E-2</v>
      </c>
      <c r="E26" s="41">
        <f t="shared" ref="E26:Q26" si="6">E25/E36</f>
        <v>2.4152799951415241E-2</v>
      </c>
      <c r="F26" s="41">
        <f t="shared" si="6"/>
        <v>2.2207565373046672E-2</v>
      </c>
      <c r="G26" s="41">
        <f t="shared" si="6"/>
        <v>2.165181656256232E-2</v>
      </c>
      <c r="H26" s="41">
        <f t="shared" si="6"/>
        <v>2.2045243996220182E-2</v>
      </c>
      <c r="I26" s="41">
        <f t="shared" si="6"/>
        <v>1.0881436344799064E-2</v>
      </c>
      <c r="J26" s="41">
        <f t="shared" si="6"/>
        <v>1.1214277832253566E-2</v>
      </c>
      <c r="K26" s="41">
        <f t="shared" si="6"/>
        <v>4.0090077615467443E-2</v>
      </c>
      <c r="L26" s="41">
        <f t="shared" si="6"/>
        <v>9.6375571291376291E-3</v>
      </c>
      <c r="M26" s="41">
        <f t="shared" si="6"/>
        <v>1.8384727641098546E-2</v>
      </c>
      <c r="N26" s="41">
        <f t="shared" si="6"/>
        <v>1.2332908842166423E-2</v>
      </c>
      <c r="O26" s="41">
        <f t="shared" si="6"/>
        <v>1.9754174702291329E-2</v>
      </c>
      <c r="P26" s="41">
        <f t="shared" si="6"/>
        <v>1.7920123997893663E-2</v>
      </c>
      <c r="Q26" s="41">
        <f t="shared" si="6"/>
        <v>1.6881679991926957E-2</v>
      </c>
    </row>
    <row r="27" spans="1:17" ht="44.25" customHeight="1">
      <c r="A27" s="60">
        <v>6</v>
      </c>
      <c r="B27" s="70" t="s">
        <v>28</v>
      </c>
      <c r="C27" s="52" t="s">
        <v>91</v>
      </c>
      <c r="D27" s="6">
        <v>18561</v>
      </c>
      <c r="E27" s="6">
        <v>18401</v>
      </c>
      <c r="F27" s="6">
        <v>18884.5</v>
      </c>
      <c r="G27" s="6">
        <v>18900.5</v>
      </c>
      <c r="H27" s="6">
        <v>19221.5</v>
      </c>
      <c r="I27" s="7">
        <v>26724</v>
      </c>
      <c r="J27" s="6">
        <v>27285.000000000004</v>
      </c>
      <c r="K27" s="6">
        <v>26521.000000000004</v>
      </c>
      <c r="L27" s="6">
        <v>32457</v>
      </c>
      <c r="M27" s="6">
        <v>29972.500000000004</v>
      </c>
      <c r="N27" s="6">
        <v>26219</v>
      </c>
      <c r="O27" s="6">
        <v>21387</v>
      </c>
      <c r="P27" s="6">
        <v>24162.5</v>
      </c>
      <c r="Q27" s="6">
        <v>23186.5</v>
      </c>
    </row>
    <row r="28" spans="1:17" ht="44.25" customHeight="1">
      <c r="A28" s="60"/>
      <c r="B28" s="82"/>
      <c r="C28" s="4" t="s">
        <v>86</v>
      </c>
      <c r="D28" s="47">
        <f>D27/D36</f>
        <v>6.6593135923547181E-2</v>
      </c>
      <c r="E28" s="41">
        <f t="shared" ref="E28:Q28" si="7">E27/E36</f>
        <v>4.0755294544876912E-2</v>
      </c>
      <c r="F28" s="41">
        <f t="shared" si="7"/>
        <v>3.8595150816511894E-2</v>
      </c>
      <c r="G28" s="41">
        <f t="shared" si="7"/>
        <v>3.7757363060363883E-2</v>
      </c>
      <c r="H28" s="41">
        <f t="shared" si="7"/>
        <v>3.9071259603014948E-2</v>
      </c>
      <c r="I28" s="41">
        <f t="shared" si="7"/>
        <v>2.7636588907787609E-2</v>
      </c>
      <c r="J28" s="41">
        <f t="shared" si="7"/>
        <v>2.7663151967821892E-2</v>
      </c>
      <c r="K28" s="41">
        <f t="shared" si="7"/>
        <v>0.10552638171479792</v>
      </c>
      <c r="L28" s="41">
        <f t="shared" si="7"/>
        <v>2.74785737901427E-2</v>
      </c>
      <c r="M28" s="41">
        <f t="shared" si="7"/>
        <v>5.3762256619623028E-2</v>
      </c>
      <c r="N28" s="41">
        <f t="shared" si="7"/>
        <v>2.8460425267942548E-2</v>
      </c>
      <c r="O28" s="41">
        <f t="shared" si="7"/>
        <v>3.80834476056379E-2</v>
      </c>
      <c r="P28" s="41">
        <f t="shared" si="7"/>
        <v>3.7786785476712915E-2</v>
      </c>
      <c r="Q28" s="41">
        <f t="shared" si="7"/>
        <v>3.5132412671639177E-2</v>
      </c>
    </row>
    <row r="29" spans="1:17" ht="34.5" customHeight="1">
      <c r="A29" s="60">
        <v>7</v>
      </c>
      <c r="B29" s="39"/>
      <c r="C29" s="8" t="s">
        <v>92</v>
      </c>
      <c r="D29" s="6">
        <v>48941.200000000004</v>
      </c>
      <c r="E29" s="43">
        <v>48125</v>
      </c>
      <c r="F29" s="7">
        <v>50415.199999999997</v>
      </c>
      <c r="G29" s="7">
        <v>50366.8</v>
      </c>
      <c r="H29" s="7">
        <v>49449.4</v>
      </c>
      <c r="I29" s="7">
        <v>79901.8</v>
      </c>
      <c r="J29" s="7">
        <v>81532</v>
      </c>
      <c r="K29" s="7">
        <v>0</v>
      </c>
      <c r="L29" s="7">
        <v>96096</v>
      </c>
      <c r="M29" s="7">
        <v>0</v>
      </c>
      <c r="N29" s="7">
        <v>75215.8</v>
      </c>
      <c r="O29" s="7">
        <v>55409.200000000004</v>
      </c>
      <c r="P29" s="7">
        <v>63298.400000000009</v>
      </c>
      <c r="Q29" s="7">
        <v>63148.800000000003</v>
      </c>
    </row>
    <row r="30" spans="1:17" ht="33.6" hidden="1" customHeight="1">
      <c r="A30" s="60"/>
      <c r="B30" s="83" t="s">
        <v>8</v>
      </c>
      <c r="C30" s="83"/>
      <c r="D30" s="83"/>
      <c r="E30" s="44"/>
      <c r="F30" s="29"/>
      <c r="G30" s="29"/>
      <c r="H30" s="30"/>
      <c r="I30" s="30"/>
      <c r="J30" s="30"/>
      <c r="K30" s="26"/>
      <c r="L30" s="31"/>
      <c r="M30" s="15"/>
      <c r="N30" s="29"/>
      <c r="O30" s="29"/>
      <c r="P30" s="29"/>
      <c r="Q30" s="29"/>
    </row>
    <row r="31" spans="1:17" ht="45" hidden="1" customHeight="1">
      <c r="A31" s="60"/>
      <c r="B31" s="48" t="s">
        <v>7</v>
      </c>
      <c r="C31" s="49" t="s">
        <v>9</v>
      </c>
      <c r="D31" s="49" t="s">
        <v>10</v>
      </c>
      <c r="E31" s="45"/>
      <c r="F31" s="29"/>
      <c r="G31" s="29"/>
      <c r="H31" s="31"/>
      <c r="I31" s="32"/>
      <c r="J31" s="32"/>
      <c r="K31" s="26"/>
      <c r="L31" s="29"/>
      <c r="M31" s="15"/>
      <c r="N31" s="29"/>
      <c r="O31" s="29"/>
      <c r="P31" s="29"/>
      <c r="Q31" s="29"/>
    </row>
    <row r="32" spans="1:17" ht="30" hidden="1" customHeight="1">
      <c r="A32" s="60"/>
      <c r="B32" s="50" t="s">
        <v>0</v>
      </c>
      <c r="C32" s="51" t="e">
        <f>#REF!/#REF!</f>
        <v>#REF!</v>
      </c>
      <c r="D32" s="51" t="e">
        <f>#REF!/#REF!</f>
        <v>#REF!</v>
      </c>
      <c r="E32" s="45"/>
      <c r="F32" s="29"/>
      <c r="G32" s="29"/>
      <c r="H32" s="28"/>
      <c r="I32" s="33"/>
      <c r="J32" s="33"/>
      <c r="K32" s="26"/>
      <c r="L32" s="29"/>
      <c r="M32" s="15"/>
      <c r="N32" s="29"/>
      <c r="O32" s="29"/>
      <c r="P32" s="29"/>
      <c r="Q32" s="29"/>
    </row>
    <row r="33" spans="1:17" ht="30" hidden="1" customHeight="1">
      <c r="A33" s="60"/>
      <c r="B33" s="50" t="s">
        <v>3</v>
      </c>
      <c r="C33" s="51" t="e">
        <f>#REF!/#REF!</f>
        <v>#REF!</v>
      </c>
      <c r="D33" s="51" t="e">
        <f>#REF!/#REF!</f>
        <v>#REF!</v>
      </c>
      <c r="E33" s="45"/>
      <c r="F33" s="29"/>
      <c r="G33" s="29"/>
      <c r="H33" s="28"/>
      <c r="I33" s="33"/>
      <c r="J33" s="33"/>
      <c r="K33" s="26"/>
      <c r="L33" s="29"/>
      <c r="M33" s="15"/>
      <c r="N33" s="29"/>
      <c r="O33" s="29"/>
      <c r="P33" s="29"/>
      <c r="Q33" s="29"/>
    </row>
    <row r="34" spans="1:17" ht="45" hidden="1" customHeight="1">
      <c r="A34" s="60"/>
      <c r="B34" s="50" t="s">
        <v>4</v>
      </c>
      <c r="C34" s="51" t="e">
        <f>#REF!/#REF!</f>
        <v>#REF!</v>
      </c>
      <c r="D34" s="51" t="e">
        <f>#REF!/#REF!</f>
        <v>#REF!</v>
      </c>
      <c r="E34" s="45"/>
      <c r="F34" s="29"/>
      <c r="G34" s="29"/>
      <c r="H34" s="28"/>
      <c r="I34" s="33"/>
      <c r="J34" s="33"/>
      <c r="K34" s="26"/>
      <c r="L34" s="29"/>
      <c r="M34" s="15"/>
      <c r="N34" s="29"/>
      <c r="O34" s="29"/>
      <c r="P34" s="29"/>
      <c r="Q34" s="29"/>
    </row>
    <row r="35" spans="1:17" ht="37.5" customHeight="1">
      <c r="A35" s="60"/>
      <c r="B35" s="53" t="s">
        <v>36</v>
      </c>
      <c r="C35" s="4" t="s">
        <v>86</v>
      </c>
      <c r="D35" s="42">
        <f>D29/D36</f>
        <v>0.17559118495024553</v>
      </c>
      <c r="E35" s="46">
        <f t="shared" ref="E35:Q35" si="8">E29/E36</f>
        <v>0.10658923699647854</v>
      </c>
      <c r="F35" s="42">
        <f t="shared" si="8"/>
        <v>0.10303594203948266</v>
      </c>
      <c r="G35" s="42">
        <f t="shared" si="8"/>
        <v>0.10061731455721996</v>
      </c>
      <c r="H35" s="42">
        <f t="shared" si="8"/>
        <v>0.10051506618179265</v>
      </c>
      <c r="I35" s="42">
        <f t="shared" si="8"/>
        <v>8.2630339754238294E-2</v>
      </c>
      <c r="J35" s="42">
        <f t="shared" si="8"/>
        <v>8.2661979338114505E-2</v>
      </c>
      <c r="K35" s="42">
        <f t="shared" si="8"/>
        <v>0</v>
      </c>
      <c r="L35" s="42">
        <f t="shared" si="8"/>
        <v>8.1356287609377118E-2</v>
      </c>
      <c r="M35" s="42">
        <f t="shared" si="8"/>
        <v>0</v>
      </c>
      <c r="N35" s="42">
        <f t="shared" si="8"/>
        <v>8.1645892477535884E-2</v>
      </c>
      <c r="O35" s="42">
        <f t="shared" si="8"/>
        <v>9.8666169405260754E-2</v>
      </c>
      <c r="P35" s="42">
        <f t="shared" si="8"/>
        <v>9.8989883572443468E-2</v>
      </c>
      <c r="Q35" s="42">
        <f t="shared" si="8"/>
        <v>9.5683682372018547E-2</v>
      </c>
    </row>
    <row r="36" spans="1:17" ht="45" customHeight="1">
      <c r="A36" s="69" t="s">
        <v>43</v>
      </c>
      <c r="B36" s="69"/>
      <c r="C36" s="69"/>
      <c r="D36" s="56">
        <v>278722.41999999993</v>
      </c>
      <c r="E36" s="34">
        <v>451499.62</v>
      </c>
      <c r="F36" s="34">
        <v>489297.22000000003</v>
      </c>
      <c r="G36" s="34">
        <v>500577.85999999987</v>
      </c>
      <c r="H36" s="34">
        <v>491960.07999999996</v>
      </c>
      <c r="I36" s="34">
        <v>966978.96000000008</v>
      </c>
      <c r="J36" s="34">
        <v>986330.12</v>
      </c>
      <c r="K36" s="34">
        <v>251321.04000000007</v>
      </c>
      <c r="L36" s="34">
        <v>1181174.8400000001</v>
      </c>
      <c r="M36" s="34">
        <v>557500.78</v>
      </c>
      <c r="N36" s="34">
        <v>921244.1399999999</v>
      </c>
      <c r="O36" s="34">
        <v>561582.55999999994</v>
      </c>
      <c r="P36" s="34">
        <v>639443.12000000011</v>
      </c>
      <c r="Q36" s="34">
        <v>659974.60000000009</v>
      </c>
    </row>
    <row r="37" spans="1:17" ht="28.5" customHeight="1">
      <c r="A37" s="80" t="s">
        <v>30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</row>
    <row r="38" spans="1:17" s="2" customFormat="1" ht="108" customHeight="1">
      <c r="A38" s="60">
        <v>8</v>
      </c>
      <c r="B38" s="70" t="s">
        <v>71</v>
      </c>
      <c r="C38" s="4" t="s">
        <v>96</v>
      </c>
      <c r="D38" s="7">
        <v>62472</v>
      </c>
      <c r="E38" s="7">
        <v>67298</v>
      </c>
      <c r="F38" s="7">
        <v>69317</v>
      </c>
      <c r="G38" s="7">
        <v>74603</v>
      </c>
      <c r="H38" s="7">
        <v>62990</v>
      </c>
      <c r="I38" s="7">
        <v>93250</v>
      </c>
      <c r="J38" s="7">
        <v>95189</v>
      </c>
      <c r="K38" s="7">
        <v>0</v>
      </c>
      <c r="L38" s="7">
        <v>322841</v>
      </c>
      <c r="M38" s="7">
        <v>0</v>
      </c>
      <c r="N38" s="7">
        <v>167591</v>
      </c>
      <c r="O38" s="7">
        <v>84746</v>
      </c>
      <c r="P38" s="7">
        <v>64629.999999999993</v>
      </c>
      <c r="Q38" s="7">
        <v>77717</v>
      </c>
    </row>
    <row r="39" spans="1:17" s="2" customFormat="1" ht="29.25" customHeight="1">
      <c r="A39" s="60"/>
      <c r="B39" s="70"/>
      <c r="C39" s="17" t="s">
        <v>86</v>
      </c>
      <c r="D39" s="42">
        <f>D38/D54</f>
        <v>0.2748935753254555</v>
      </c>
      <c r="E39" s="42">
        <f t="shared" ref="E39:Q39" si="9">E38/E54</f>
        <v>0.29096102288333781</v>
      </c>
      <c r="F39" s="42">
        <f t="shared" si="9"/>
        <v>0.29648478211882257</v>
      </c>
      <c r="G39" s="42">
        <f t="shared" si="9"/>
        <v>0.31265556582038778</v>
      </c>
      <c r="H39" s="42">
        <f t="shared" si="9"/>
        <v>0.27660838388813735</v>
      </c>
      <c r="I39" s="42">
        <f t="shared" si="9"/>
        <v>0.35588767226361129</v>
      </c>
      <c r="J39" s="42">
        <f t="shared" si="9"/>
        <v>0.3593880786410843</v>
      </c>
      <c r="K39" s="42" t="e">
        <f t="shared" si="9"/>
        <v>#DIV/0!</v>
      </c>
      <c r="L39" s="42">
        <f t="shared" si="9"/>
        <v>0.64280577840066189</v>
      </c>
      <c r="M39" s="42" t="e">
        <f t="shared" si="9"/>
        <v>#DIV/0!</v>
      </c>
      <c r="N39" s="42">
        <f t="shared" si="9"/>
        <v>0.48507783545384475</v>
      </c>
      <c r="O39" s="42">
        <f t="shared" si="9"/>
        <v>0.33441392867909719</v>
      </c>
      <c r="P39" s="42">
        <f t="shared" si="9"/>
        <v>0.2702129961572392</v>
      </c>
      <c r="Q39" s="42">
        <f t="shared" si="9"/>
        <v>0.31148043033027195</v>
      </c>
    </row>
    <row r="40" spans="1:17" s="2" customFormat="1" ht="45.75" customHeight="1">
      <c r="A40" s="60">
        <v>9</v>
      </c>
      <c r="B40" s="70" t="s">
        <v>31</v>
      </c>
      <c r="C40" s="5" t="s">
        <v>94</v>
      </c>
      <c r="D40" s="7">
        <f>24630+9260.03</f>
        <v>33890.03</v>
      </c>
      <c r="E40" s="7">
        <f>24630+9062.99</f>
        <v>33692.99</v>
      </c>
      <c r="F40" s="7">
        <f>24630+9182.6</f>
        <v>33812.6</v>
      </c>
      <c r="G40" s="7">
        <f>24630+9064.78</f>
        <v>33694.78</v>
      </c>
      <c r="H40" s="7">
        <f>24630+9246.31</f>
        <v>33876.31</v>
      </c>
      <c r="I40" s="7">
        <f>10245.48+24630</f>
        <v>34875.479999999996</v>
      </c>
      <c r="J40" s="7">
        <f>10470.98+24630</f>
        <v>35100.979999999996</v>
      </c>
      <c r="K40" s="7"/>
      <c r="L40" s="7">
        <f>12896.3+24630</f>
        <v>37526.300000000003</v>
      </c>
      <c r="M40" s="7"/>
      <c r="N40" s="7">
        <f>12529.86+24630</f>
        <v>37159.86</v>
      </c>
      <c r="O40" s="7">
        <f>10228.73+24630</f>
        <v>34858.729999999996</v>
      </c>
      <c r="P40" s="7">
        <f>24630+11696.38</f>
        <v>36326.379999999997</v>
      </c>
      <c r="Q40" s="7">
        <f>11006.27+24630</f>
        <v>35636.270000000004</v>
      </c>
    </row>
    <row r="41" spans="1:17" s="2" customFormat="1" ht="45.75" customHeight="1">
      <c r="A41" s="60"/>
      <c r="B41" s="70"/>
      <c r="C41" s="17" t="s">
        <v>86</v>
      </c>
      <c r="D41" s="42">
        <f>D40/D54</f>
        <v>0.14912523233747835</v>
      </c>
      <c r="E41" s="42">
        <f t="shared" ref="E41:Q41" si="10">E40/E54</f>
        <v>0.14567070097771215</v>
      </c>
      <c r="F41" s="42">
        <f t="shared" si="10"/>
        <v>0.14462428183376227</v>
      </c>
      <c r="G41" s="42">
        <f t="shared" si="10"/>
        <v>0.1412122904721457</v>
      </c>
      <c r="H41" s="42">
        <f t="shared" si="10"/>
        <v>0.14876125355125489</v>
      </c>
      <c r="I41" s="42">
        <f t="shared" si="10"/>
        <v>0.13310191309679495</v>
      </c>
      <c r="J41" s="42">
        <f t="shared" si="10"/>
        <v>0.13252449086153995</v>
      </c>
      <c r="K41" s="42" t="e">
        <f t="shared" si="10"/>
        <v>#DIV/0!</v>
      </c>
      <c r="L41" s="42">
        <f t="shared" si="10"/>
        <v>7.4718274574780655E-2</v>
      </c>
      <c r="M41" s="42" t="e">
        <f t="shared" si="10"/>
        <v>#DIV/0!</v>
      </c>
      <c r="N41" s="42">
        <f t="shared" si="10"/>
        <v>0.1075560409244405</v>
      </c>
      <c r="O41" s="42">
        <f t="shared" si="10"/>
        <v>0.13755510405286273</v>
      </c>
      <c r="P41" s="42">
        <f t="shared" si="10"/>
        <v>0.15187776542389619</v>
      </c>
      <c r="Q41" s="42">
        <f t="shared" si="10"/>
        <v>0.14282590314816271</v>
      </c>
    </row>
    <row r="42" spans="1:17" s="2" customFormat="1" ht="33" customHeight="1">
      <c r="A42" s="60">
        <v>10</v>
      </c>
      <c r="B42" s="70" t="s">
        <v>32</v>
      </c>
      <c r="C42" s="5" t="s">
        <v>93</v>
      </c>
      <c r="D42" s="7">
        <f>11900+9260.03</f>
        <v>21160.03</v>
      </c>
      <c r="E42" s="7">
        <f>11900+9062.99</f>
        <v>20962.989999999998</v>
      </c>
      <c r="F42" s="7">
        <f>11900+9182.6</f>
        <v>21082.6</v>
      </c>
      <c r="G42" s="7">
        <f>11900+9064.78</f>
        <v>20964.78</v>
      </c>
      <c r="H42" s="7">
        <f>11900+9246.31</f>
        <v>21146.309999999998</v>
      </c>
      <c r="I42" s="7">
        <f>10245.48+11900</f>
        <v>22145.48</v>
      </c>
      <c r="J42" s="7">
        <f>11900+10470.98</f>
        <v>22370.98</v>
      </c>
      <c r="K42" s="7"/>
      <c r="L42" s="7">
        <f>11900+12896.3</f>
        <v>24796.3</v>
      </c>
      <c r="M42" s="7"/>
      <c r="N42" s="7">
        <f>12529.86+11900</f>
        <v>24429.86</v>
      </c>
      <c r="O42" s="7">
        <f>10228.73+11900</f>
        <v>22128.73</v>
      </c>
      <c r="P42" s="7">
        <f>11900+11696.38</f>
        <v>23596.379999999997</v>
      </c>
      <c r="Q42" s="7">
        <f>11900+11006.27</f>
        <v>22906.27</v>
      </c>
    </row>
    <row r="43" spans="1:17" s="2" customFormat="1" ht="36.75" customHeight="1">
      <c r="A43" s="60"/>
      <c r="B43" s="70"/>
      <c r="C43" s="17" t="s">
        <v>86</v>
      </c>
      <c r="D43" s="42">
        <f>D42/D54</f>
        <v>9.3109814007777847E-2</v>
      </c>
      <c r="E43" s="42">
        <f t="shared" ref="E43:Q43" si="11">E42/E54</f>
        <v>9.0632901618074552E-2</v>
      </c>
      <c r="F43" s="42">
        <f t="shared" si="11"/>
        <v>9.0175138385941225E-2</v>
      </c>
      <c r="G43" s="42">
        <f t="shared" si="11"/>
        <v>8.7861817262039718E-2</v>
      </c>
      <c r="H43" s="42">
        <f t="shared" si="11"/>
        <v>9.2859924341920252E-2</v>
      </c>
      <c r="I43" s="42">
        <f t="shared" si="11"/>
        <v>8.4517998159360411E-2</v>
      </c>
      <c r="J43" s="42">
        <f t="shared" si="11"/>
        <v>8.4462107171187045E-2</v>
      </c>
      <c r="K43" s="42" t="e">
        <f t="shared" si="11"/>
        <v>#DIV/0!</v>
      </c>
      <c r="L43" s="42">
        <f t="shared" si="11"/>
        <v>4.9371687372286456E-2</v>
      </c>
      <c r="M43" s="42" t="e">
        <f t="shared" si="11"/>
        <v>#DIV/0!</v>
      </c>
      <c r="N43" s="42">
        <f t="shared" si="11"/>
        <v>7.071014320124866E-2</v>
      </c>
      <c r="O43" s="42">
        <f t="shared" si="11"/>
        <v>8.7321590824097878E-2</v>
      </c>
      <c r="P43" s="42">
        <f t="shared" si="11"/>
        <v>9.8654626926578309E-2</v>
      </c>
      <c r="Q43" s="42">
        <f t="shared" si="11"/>
        <v>9.1805587411523851E-2</v>
      </c>
    </row>
    <row r="44" spans="1:17" s="2" customFormat="1" ht="28.5" customHeight="1">
      <c r="A44" s="60">
        <v>11</v>
      </c>
      <c r="B44" s="70" t="s">
        <v>33</v>
      </c>
      <c r="C44" s="5" t="s">
        <v>94</v>
      </c>
      <c r="D44" s="7">
        <f>33740+9260.03</f>
        <v>43000.03</v>
      </c>
      <c r="E44" s="7">
        <f>33740+9062.99</f>
        <v>42802.99</v>
      </c>
      <c r="F44" s="7">
        <f>9182.6+33740</f>
        <v>42922.6</v>
      </c>
      <c r="G44" s="7">
        <f>33740+9064.78</f>
        <v>42804.78</v>
      </c>
      <c r="H44" s="7">
        <f>33740+9246.31</f>
        <v>42986.31</v>
      </c>
      <c r="I44" s="7">
        <f>33740+10245.48</f>
        <v>43985.479999999996</v>
      </c>
      <c r="J44" s="7">
        <f>33740+10470.98</f>
        <v>44210.979999999996</v>
      </c>
      <c r="K44" s="7"/>
      <c r="L44" s="7">
        <f>33740+12896.3</f>
        <v>46636.3</v>
      </c>
      <c r="M44" s="7"/>
      <c r="N44" s="7">
        <f>12529.86+33740</f>
        <v>46269.86</v>
      </c>
      <c r="O44" s="7">
        <f>10228.73+33740</f>
        <v>43968.729999999996</v>
      </c>
      <c r="P44" s="7">
        <f>33740+11696.38</f>
        <v>45436.38</v>
      </c>
      <c r="Q44" s="7">
        <f>11006.27+33740</f>
        <v>44746.270000000004</v>
      </c>
    </row>
    <row r="45" spans="1:17" s="2" customFormat="1" ht="31.5" customHeight="1">
      <c r="A45" s="60"/>
      <c r="B45" s="70"/>
      <c r="C45" s="17" t="s">
        <v>86</v>
      </c>
      <c r="D45" s="42">
        <f>D44/D54</f>
        <v>0.1892116786048445</v>
      </c>
      <c r="E45" s="42">
        <f t="shared" ref="E45:Q45" si="12">E44/E54</f>
        <v>0.18505753146995868</v>
      </c>
      <c r="F45" s="42">
        <f t="shared" si="12"/>
        <v>0.18358985110396256</v>
      </c>
      <c r="G45" s="42">
        <f t="shared" si="12"/>
        <v>0.17939161576233154</v>
      </c>
      <c r="H45" s="42">
        <f t="shared" si="12"/>
        <v>0.18876605395165069</v>
      </c>
      <c r="I45" s="42">
        <f t="shared" si="12"/>
        <v>0.16787013501981371</v>
      </c>
      <c r="J45" s="42">
        <f t="shared" si="12"/>
        <v>0.1669194881450525</v>
      </c>
      <c r="K45" s="42" t="e">
        <f t="shared" si="12"/>
        <v>#DIV/0!</v>
      </c>
      <c r="L45" s="42">
        <f t="shared" si="12"/>
        <v>9.2857112706337758E-2</v>
      </c>
      <c r="M45" s="42" t="e">
        <f t="shared" si="12"/>
        <v>#DIV/0!</v>
      </c>
      <c r="N45" s="42">
        <f t="shared" si="12"/>
        <v>0.13392415783396741</v>
      </c>
      <c r="O45" s="42">
        <f t="shared" si="12"/>
        <v>0.17350383190157034</v>
      </c>
      <c r="P45" s="42">
        <f t="shared" si="12"/>
        <v>0.1899659658724874</v>
      </c>
      <c r="Q45" s="42">
        <f t="shared" si="12"/>
        <v>0.17933769233596947</v>
      </c>
    </row>
    <row r="46" spans="1:17" s="2" customFormat="1" ht="37.5" customHeight="1">
      <c r="A46" s="60">
        <v>12</v>
      </c>
      <c r="B46" s="70" t="s">
        <v>39</v>
      </c>
      <c r="C46" s="5" t="s">
        <v>93</v>
      </c>
      <c r="D46" s="7">
        <f>57410+9260.03</f>
        <v>66670.03</v>
      </c>
      <c r="E46" s="7">
        <f>9062.99+57410</f>
        <v>66472.990000000005</v>
      </c>
      <c r="F46" s="7">
        <f>57410+9182.6</f>
        <v>66592.600000000006</v>
      </c>
      <c r="G46" s="7">
        <f>57410+9064.78</f>
        <v>66474.78</v>
      </c>
      <c r="H46" s="7">
        <f>57410+9246.31</f>
        <v>66656.31</v>
      </c>
      <c r="I46" s="7">
        <f>57410+10245.48</f>
        <v>67655.48</v>
      </c>
      <c r="J46" s="7">
        <f>10470.98+57410</f>
        <v>67880.98</v>
      </c>
      <c r="K46" s="7"/>
      <c r="L46" s="7">
        <f>12896.3+57410</f>
        <v>70306.3</v>
      </c>
      <c r="M46" s="7"/>
      <c r="N46" s="7">
        <f>57410+12529.86</f>
        <v>69939.86</v>
      </c>
      <c r="O46" s="7">
        <f>57410+10228.73</f>
        <v>67638.73</v>
      </c>
      <c r="P46" s="7">
        <f>57410+11696.38</f>
        <v>69106.38</v>
      </c>
      <c r="Q46" s="7">
        <f>57410+11006.53</f>
        <v>68416.53</v>
      </c>
    </row>
    <row r="47" spans="1:17" s="2" customFormat="1" ht="30.75" customHeight="1">
      <c r="A47" s="60"/>
      <c r="B47" s="70"/>
      <c r="C47" s="17" t="s">
        <v>86</v>
      </c>
      <c r="D47" s="42">
        <f>D46/D54</f>
        <v>0.29336603460358845</v>
      </c>
      <c r="E47" s="42">
        <f t="shared" ref="E47:Q47" si="13">E46/E54</f>
        <v>0.2873941151967947</v>
      </c>
      <c r="F47" s="42">
        <f t="shared" si="13"/>
        <v>0.28483189551951044</v>
      </c>
      <c r="G47" s="42">
        <f t="shared" si="13"/>
        <v>0.27859080671937853</v>
      </c>
      <c r="H47" s="42">
        <f t="shared" si="13"/>
        <v>0.29270827409186678</v>
      </c>
      <c r="I47" s="42">
        <f t="shared" si="13"/>
        <v>0.25820644818313465</v>
      </c>
      <c r="J47" s="42">
        <f t="shared" si="13"/>
        <v>0.2562860727444754</v>
      </c>
      <c r="K47" s="42" t="e">
        <f t="shared" si="13"/>
        <v>#DIV/0!</v>
      </c>
      <c r="L47" s="42">
        <f t="shared" si="13"/>
        <v>0.13998623439392907</v>
      </c>
      <c r="M47" s="42" t="e">
        <f t="shared" si="13"/>
        <v>#DIV/0!</v>
      </c>
      <c r="N47" s="42">
        <f t="shared" si="13"/>
        <v>0.20243495116530685</v>
      </c>
      <c r="O47" s="42">
        <f t="shared" si="13"/>
        <v>0.26690738713525963</v>
      </c>
      <c r="P47" s="42">
        <f t="shared" si="13"/>
        <v>0.28892839228501804</v>
      </c>
      <c r="Q47" s="42">
        <f t="shared" si="13"/>
        <v>0.27420526018894142</v>
      </c>
    </row>
    <row r="48" spans="1:17" ht="56.25" hidden="1">
      <c r="A48" s="16">
        <v>14</v>
      </c>
      <c r="B48" s="3" t="s">
        <v>34</v>
      </c>
      <c r="C48" s="5" t="s">
        <v>6</v>
      </c>
      <c r="D48" s="7">
        <f>104110+21725.12</f>
        <v>125835.12</v>
      </c>
      <c r="E48" s="7">
        <f>21560.71+104110</f>
        <v>125670.70999999999</v>
      </c>
      <c r="F48" s="7">
        <f>104110+21375.95</f>
        <v>125485.95</v>
      </c>
      <c r="G48" s="7">
        <f>104110+21326.5</f>
        <v>125436.5</v>
      </c>
      <c r="H48" s="7">
        <f>104110+21198.07</f>
        <v>125308.07</v>
      </c>
      <c r="I48" s="7">
        <f>104110+22485.31</f>
        <v>126595.31</v>
      </c>
      <c r="J48" s="7">
        <f>104110+22965.49</f>
        <v>127075.49</v>
      </c>
      <c r="K48" s="36"/>
      <c r="L48" s="7">
        <f>104110+25404.17</f>
        <v>129514.17</v>
      </c>
      <c r="M48" s="36"/>
      <c r="N48" s="7">
        <f>104110+25479.94</f>
        <v>129589.94</v>
      </c>
      <c r="O48" s="7">
        <f>23339.6+104110</f>
        <v>127449.60000000001</v>
      </c>
      <c r="P48" s="7">
        <f>26296.84+104110</f>
        <v>130406.84</v>
      </c>
      <c r="Q48" s="7">
        <f>23754.2+104110</f>
        <v>127864.2</v>
      </c>
    </row>
    <row r="49" spans="1:17" ht="34.5" hidden="1" customHeight="1">
      <c r="A49" s="60" t="s">
        <v>40</v>
      </c>
      <c r="B49" s="60"/>
      <c r="C49" s="17">
        <v>0</v>
      </c>
      <c r="D49" s="7">
        <f t="shared" ref="D49:Q49" si="14">D48*$C$49</f>
        <v>0</v>
      </c>
      <c r="E49" s="7">
        <f t="shared" si="14"/>
        <v>0</v>
      </c>
      <c r="F49" s="7">
        <f t="shared" si="14"/>
        <v>0</v>
      </c>
      <c r="G49" s="7">
        <f t="shared" si="14"/>
        <v>0</v>
      </c>
      <c r="H49" s="7">
        <f t="shared" si="14"/>
        <v>0</v>
      </c>
      <c r="I49" s="7">
        <f t="shared" si="14"/>
        <v>0</v>
      </c>
      <c r="J49" s="7">
        <f t="shared" si="14"/>
        <v>0</v>
      </c>
      <c r="K49" s="7">
        <f t="shared" si="14"/>
        <v>0</v>
      </c>
      <c r="L49" s="7">
        <f t="shared" si="14"/>
        <v>0</v>
      </c>
      <c r="M49" s="7">
        <f t="shared" si="14"/>
        <v>0</v>
      </c>
      <c r="N49" s="7">
        <f t="shared" si="14"/>
        <v>0</v>
      </c>
      <c r="O49" s="7">
        <f t="shared" si="14"/>
        <v>0</v>
      </c>
      <c r="P49" s="7">
        <f t="shared" si="14"/>
        <v>0</v>
      </c>
      <c r="Q49" s="7">
        <f t="shared" si="14"/>
        <v>0</v>
      </c>
    </row>
    <row r="50" spans="1:17" ht="40.5" hidden="1" customHeight="1">
      <c r="A50" s="16">
        <v>15</v>
      </c>
      <c r="B50" s="13" t="s">
        <v>35</v>
      </c>
      <c r="C50" s="5" t="s">
        <v>6</v>
      </c>
      <c r="D50" s="7">
        <f>96390+21725.12</f>
        <v>118115.12</v>
      </c>
      <c r="E50" s="7">
        <f>21560.71+96390</f>
        <v>117950.70999999999</v>
      </c>
      <c r="F50" s="7">
        <v>117532.35</v>
      </c>
      <c r="G50" s="7">
        <f>96390+21326.5</f>
        <v>117716.5</v>
      </c>
      <c r="H50" s="7">
        <f>96390+21198.07</f>
        <v>117588.07</v>
      </c>
      <c r="I50" s="7">
        <f>96390+22485.31</f>
        <v>118875.31</v>
      </c>
      <c r="J50" s="7">
        <f>96390+22965.49</f>
        <v>119355.49</v>
      </c>
      <c r="K50" s="36"/>
      <c r="L50" s="7">
        <f>96390+25404.17</f>
        <v>121794.17</v>
      </c>
      <c r="M50" s="36"/>
      <c r="N50" s="7">
        <f>96390+25479.94</f>
        <v>121869.94</v>
      </c>
      <c r="O50" s="7">
        <f>96390+23339.6</f>
        <v>119729.60000000001</v>
      </c>
      <c r="P50" s="7">
        <f>96390+26296.84</f>
        <v>122686.84</v>
      </c>
      <c r="Q50" s="7">
        <f>23754.2+96390</f>
        <v>120144.2</v>
      </c>
    </row>
    <row r="51" spans="1:17" ht="33" hidden="1" customHeight="1">
      <c r="A51" s="60" t="s">
        <v>40</v>
      </c>
      <c r="B51" s="60"/>
      <c r="C51" s="17">
        <v>0</v>
      </c>
      <c r="D51" s="7">
        <f>D50*$C$51</f>
        <v>0</v>
      </c>
      <c r="E51" s="7">
        <f t="shared" ref="E51:Q51" si="15">E50*$C$51</f>
        <v>0</v>
      </c>
      <c r="F51" s="7">
        <f t="shared" si="15"/>
        <v>0</v>
      </c>
      <c r="G51" s="7">
        <f t="shared" si="15"/>
        <v>0</v>
      </c>
      <c r="H51" s="7">
        <f t="shared" si="15"/>
        <v>0</v>
      </c>
      <c r="I51" s="7">
        <f t="shared" si="15"/>
        <v>0</v>
      </c>
      <c r="J51" s="7">
        <f t="shared" si="15"/>
        <v>0</v>
      </c>
      <c r="K51" s="7">
        <f t="shared" si="15"/>
        <v>0</v>
      </c>
      <c r="L51" s="7">
        <f t="shared" si="15"/>
        <v>0</v>
      </c>
      <c r="M51" s="7">
        <f t="shared" si="15"/>
        <v>0</v>
      </c>
      <c r="N51" s="7">
        <f t="shared" si="15"/>
        <v>0</v>
      </c>
      <c r="O51" s="7">
        <f t="shared" si="15"/>
        <v>0</v>
      </c>
      <c r="P51" s="7">
        <f t="shared" si="15"/>
        <v>0</v>
      </c>
      <c r="Q51" s="7">
        <f t="shared" si="15"/>
        <v>0</v>
      </c>
    </row>
    <row r="52" spans="1:17" ht="33" customHeight="1">
      <c r="A52" s="60">
        <v>13</v>
      </c>
      <c r="B52" s="71" t="s">
        <v>36</v>
      </c>
      <c r="C52" s="8" t="s">
        <v>95</v>
      </c>
      <c r="D52" s="6">
        <v>66.738</v>
      </c>
      <c r="E52" s="7">
        <v>65.625</v>
      </c>
      <c r="F52" s="7">
        <v>68.74799999999999</v>
      </c>
      <c r="G52" s="7">
        <v>68.697000000000003</v>
      </c>
      <c r="H52" s="7">
        <v>67.430999999999997</v>
      </c>
      <c r="I52" s="7">
        <v>108.95699999999999</v>
      </c>
      <c r="J52" s="7">
        <v>111.18</v>
      </c>
      <c r="K52" s="7">
        <v>0</v>
      </c>
      <c r="L52" s="7">
        <v>131.04</v>
      </c>
      <c r="M52" s="7">
        <v>0</v>
      </c>
      <c r="N52" s="7">
        <v>102.56699999999999</v>
      </c>
      <c r="O52" s="7">
        <v>75.558000000000007</v>
      </c>
      <c r="P52" s="7">
        <v>86.166000000000011</v>
      </c>
      <c r="Q52" s="7">
        <v>86.112000000000009</v>
      </c>
    </row>
    <row r="53" spans="1:17" ht="33" customHeight="1">
      <c r="A53" s="60"/>
      <c r="B53" s="71"/>
      <c r="C53" s="17" t="s">
        <v>86</v>
      </c>
      <c r="D53" s="42">
        <f>D52/D54</f>
        <v>2.9366512085526717E-4</v>
      </c>
      <c r="E53" s="42">
        <f t="shared" ref="E53:Q53" si="16">E52/E54</f>
        <v>2.8372785412224797E-4</v>
      </c>
      <c r="F53" s="42">
        <f t="shared" si="16"/>
        <v>2.9405103800084843E-4</v>
      </c>
      <c r="G53" s="42">
        <f t="shared" si="16"/>
        <v>2.8790396371678324E-4</v>
      </c>
      <c r="H53" s="42">
        <f t="shared" si="16"/>
        <v>2.9611017517004268E-4</v>
      </c>
      <c r="I53" s="42">
        <f t="shared" si="16"/>
        <v>4.1583327728500046E-4</v>
      </c>
      <c r="J53" s="42">
        <f t="shared" si="16"/>
        <v>4.1976243666091409E-4</v>
      </c>
      <c r="K53" s="42" t="e">
        <f t="shared" si="16"/>
        <v>#DIV/0!</v>
      </c>
      <c r="L53" s="42">
        <f t="shared" si="16"/>
        <v>2.6091255200430779E-4</v>
      </c>
      <c r="M53" s="42" t="e">
        <f t="shared" si="16"/>
        <v>#DIV/0!</v>
      </c>
      <c r="N53" s="42">
        <f t="shared" si="16"/>
        <v>2.9687142119203593E-4</v>
      </c>
      <c r="O53" s="42">
        <f t="shared" si="16"/>
        <v>2.9815740711225581E-4</v>
      </c>
      <c r="P53" s="42">
        <f t="shared" si="16"/>
        <v>3.6025333478082437E-4</v>
      </c>
      <c r="Q53" s="42">
        <f t="shared" si="16"/>
        <v>3.4512658513067131E-4</v>
      </c>
    </row>
    <row r="54" spans="1:17" ht="33" customHeight="1">
      <c r="A54" s="57" t="s">
        <v>44</v>
      </c>
      <c r="B54" s="58"/>
      <c r="C54" s="59"/>
      <c r="D54" s="7">
        <v>227258.85800000001</v>
      </c>
      <c r="E54" s="7">
        <v>231295.58499999996</v>
      </c>
      <c r="F54" s="7">
        <v>233796.14800000002</v>
      </c>
      <c r="G54" s="7">
        <v>238610.81699999998</v>
      </c>
      <c r="H54" s="7">
        <v>227722.671</v>
      </c>
      <c r="I54" s="7">
        <v>262020.87699999998</v>
      </c>
      <c r="J54" s="7">
        <v>264864.09999999998</v>
      </c>
      <c r="K54" s="7">
        <v>0</v>
      </c>
      <c r="L54" s="7">
        <v>502237.23999999993</v>
      </c>
      <c r="M54" s="7">
        <v>0</v>
      </c>
      <c r="N54" s="7">
        <v>345493.00699999993</v>
      </c>
      <c r="O54" s="7">
        <v>253416.47799999997</v>
      </c>
      <c r="P54" s="7">
        <v>239181.68599999999</v>
      </c>
      <c r="Q54" s="7">
        <v>249508.45199999999</v>
      </c>
    </row>
    <row r="55" spans="1:17" ht="67.5" customHeight="1">
      <c r="A55" s="73" t="s">
        <v>56</v>
      </c>
      <c r="B55" s="74"/>
      <c r="C55" s="75"/>
      <c r="D55" s="7">
        <v>505981.27799999993</v>
      </c>
      <c r="E55" s="7">
        <v>682795.20499999996</v>
      </c>
      <c r="F55" s="7">
        <v>723093.36800000002</v>
      </c>
      <c r="G55" s="7">
        <v>739188.67699999991</v>
      </c>
      <c r="H55" s="7">
        <v>719682.75099999993</v>
      </c>
      <c r="I55" s="7">
        <v>1228999.8370000001</v>
      </c>
      <c r="J55" s="7">
        <v>1251194.22</v>
      </c>
      <c r="K55" s="7">
        <v>251321.04000000007</v>
      </c>
      <c r="L55" s="7">
        <v>1683412.08</v>
      </c>
      <c r="M55" s="7">
        <v>557500.78</v>
      </c>
      <c r="N55" s="7">
        <v>1266737.1469999999</v>
      </c>
      <c r="O55" s="7">
        <v>814999.03799999994</v>
      </c>
      <c r="P55" s="7">
        <v>878624.8060000001</v>
      </c>
      <c r="Q55" s="7">
        <v>909483.05200000014</v>
      </c>
    </row>
    <row r="56" spans="1:17" ht="60.75" hidden="1" customHeight="1">
      <c r="A56" s="72" t="s">
        <v>52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</row>
    <row r="57" spans="1:17" ht="11.25" hidden="1" customHeight="1">
      <c r="B57" s="12"/>
      <c r="C57" s="10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1:17" ht="35.25" hidden="1" customHeight="1">
      <c r="A58" s="57" t="s">
        <v>41</v>
      </c>
      <c r="B58" s="59"/>
      <c r="C58" s="21">
        <v>0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</row>
    <row r="59" spans="1:17" ht="29.25" hidden="1" customHeight="1">
      <c r="A59" s="57" t="s">
        <v>42</v>
      </c>
      <c r="B59" s="59"/>
      <c r="C59" s="17">
        <v>0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1:17" ht="18.75" hidden="1">
      <c r="B60" s="12"/>
      <c r="C60" s="10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</row>
    <row r="61" spans="1:17" ht="35.25" hidden="1" customHeight="1">
      <c r="A61" s="57" t="s">
        <v>53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8"/>
    </row>
    <row r="62" spans="1:17" ht="48.75" hidden="1" customHeight="1">
      <c r="A62" s="62" t="s">
        <v>45</v>
      </c>
      <c r="B62" s="62"/>
      <c r="C62" s="62"/>
      <c r="D62" s="5">
        <f>D36/100*2</f>
        <v>5574.4483999999984</v>
      </c>
      <c r="E62" s="5">
        <f t="shared" ref="E62:Q62" si="17">E36/100*2</f>
        <v>9029.9923999999992</v>
      </c>
      <c r="F62" s="5">
        <f t="shared" si="17"/>
        <v>9785.9444000000003</v>
      </c>
      <c r="G62" s="5">
        <f t="shared" si="17"/>
        <v>10011.557199999997</v>
      </c>
      <c r="H62" s="5">
        <f t="shared" si="17"/>
        <v>9839.2015999999985</v>
      </c>
      <c r="I62" s="5">
        <f t="shared" si="17"/>
        <v>19339.5792</v>
      </c>
      <c r="J62" s="5">
        <f t="shared" si="17"/>
        <v>19726.6024</v>
      </c>
      <c r="K62" s="5">
        <f t="shared" si="17"/>
        <v>5026.4208000000017</v>
      </c>
      <c r="L62" s="5">
        <f t="shared" si="17"/>
        <v>23623.496800000001</v>
      </c>
      <c r="M62" s="5">
        <f t="shared" si="17"/>
        <v>11150.015600000001</v>
      </c>
      <c r="N62" s="5">
        <f t="shared" si="17"/>
        <v>18424.882799999999</v>
      </c>
      <c r="O62" s="5">
        <f t="shared" si="17"/>
        <v>11231.651199999998</v>
      </c>
      <c r="P62" s="5">
        <f t="shared" si="17"/>
        <v>12788.862400000002</v>
      </c>
      <c r="Q62" s="5">
        <f t="shared" si="17"/>
        <v>13199.492000000002</v>
      </c>
    </row>
    <row r="63" spans="1:17" ht="44.25" hidden="1" customHeight="1">
      <c r="A63" s="62" t="s">
        <v>46</v>
      </c>
      <c r="B63" s="62"/>
      <c r="C63" s="62"/>
      <c r="D63" s="64" t="e">
        <f>C59/C58</f>
        <v>#DIV/0!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6"/>
    </row>
    <row r="64" spans="1:17" ht="44.25" hidden="1" customHeight="1">
      <c r="A64" s="62" t="s">
        <v>47</v>
      </c>
      <c r="B64" s="62"/>
      <c r="C64" s="62"/>
      <c r="D64" s="18" t="e">
        <f>D62*$D$63</f>
        <v>#DIV/0!</v>
      </c>
      <c r="E64" s="18" t="e">
        <f t="shared" ref="E64:Q64" si="18">E62*$D$63</f>
        <v>#DIV/0!</v>
      </c>
      <c r="F64" s="18" t="e">
        <f t="shared" si="18"/>
        <v>#DIV/0!</v>
      </c>
      <c r="G64" s="18" t="e">
        <f t="shared" si="18"/>
        <v>#DIV/0!</v>
      </c>
      <c r="H64" s="18" t="e">
        <f t="shared" si="18"/>
        <v>#DIV/0!</v>
      </c>
      <c r="I64" s="18" t="e">
        <f t="shared" si="18"/>
        <v>#DIV/0!</v>
      </c>
      <c r="J64" s="18" t="e">
        <f t="shared" si="18"/>
        <v>#DIV/0!</v>
      </c>
      <c r="K64" s="18" t="e">
        <f t="shared" si="18"/>
        <v>#DIV/0!</v>
      </c>
      <c r="L64" s="18" t="e">
        <f t="shared" si="18"/>
        <v>#DIV/0!</v>
      </c>
      <c r="M64" s="18" t="e">
        <f t="shared" si="18"/>
        <v>#DIV/0!</v>
      </c>
      <c r="N64" s="18" t="e">
        <f t="shared" si="18"/>
        <v>#DIV/0!</v>
      </c>
      <c r="O64" s="18" t="e">
        <f t="shared" si="18"/>
        <v>#DIV/0!</v>
      </c>
      <c r="P64" s="18" t="e">
        <f t="shared" si="18"/>
        <v>#DIV/0!</v>
      </c>
      <c r="Q64" s="18" t="e">
        <f t="shared" si="18"/>
        <v>#DIV/0!</v>
      </c>
    </row>
    <row r="65" spans="1:17" ht="30.75" hidden="1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</row>
    <row r="66" spans="1:17" ht="27.75" hidden="1" customHeight="1">
      <c r="A66" s="57" t="s">
        <v>54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8"/>
    </row>
    <row r="67" spans="1:17" ht="43.5" hidden="1" customHeight="1">
      <c r="A67" s="62" t="s">
        <v>48</v>
      </c>
      <c r="B67" s="62"/>
      <c r="C67" s="62"/>
      <c r="D67" s="5">
        <f>D54/100*20</f>
        <v>45451.7716</v>
      </c>
      <c r="E67" s="5">
        <f t="shared" ref="E67:Q67" si="19">E54/100*20</f>
        <v>46259.116999999998</v>
      </c>
      <c r="F67" s="5">
        <f t="shared" si="19"/>
        <v>46759.229599999999</v>
      </c>
      <c r="G67" s="5">
        <f t="shared" si="19"/>
        <v>47722.163399999998</v>
      </c>
      <c r="H67" s="5">
        <f t="shared" si="19"/>
        <v>45544.534199999995</v>
      </c>
      <c r="I67" s="5">
        <f t="shared" si="19"/>
        <v>52404.175399999993</v>
      </c>
      <c r="J67" s="5">
        <f t="shared" si="19"/>
        <v>52972.819999999992</v>
      </c>
      <c r="K67" s="5">
        <f t="shared" si="19"/>
        <v>0</v>
      </c>
      <c r="L67" s="5">
        <f t="shared" si="19"/>
        <v>100447.44799999999</v>
      </c>
      <c r="M67" s="5">
        <f t="shared" si="19"/>
        <v>0</v>
      </c>
      <c r="N67" s="5">
        <f t="shared" si="19"/>
        <v>69098.601399999985</v>
      </c>
      <c r="O67" s="5">
        <f t="shared" si="19"/>
        <v>50683.29559999999</v>
      </c>
      <c r="P67" s="5">
        <f t="shared" si="19"/>
        <v>47836.337199999994</v>
      </c>
      <c r="Q67" s="5">
        <f t="shared" si="19"/>
        <v>49901.690399999999</v>
      </c>
    </row>
    <row r="68" spans="1:17" ht="41.25" hidden="1" customHeight="1">
      <c r="A68" s="62" t="s">
        <v>46</v>
      </c>
      <c r="B68" s="62"/>
      <c r="C68" s="62"/>
      <c r="D68" s="64" t="e">
        <f>C59/C58</f>
        <v>#DIV/0!</v>
      </c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6"/>
    </row>
    <row r="69" spans="1:17" ht="46.5" hidden="1" customHeight="1">
      <c r="A69" s="62" t="s">
        <v>49</v>
      </c>
      <c r="B69" s="62"/>
      <c r="C69" s="62"/>
      <c r="D69" s="5" t="e">
        <f>$D$68*D67</f>
        <v>#DIV/0!</v>
      </c>
      <c r="E69" s="5" t="e">
        <f t="shared" ref="E69:Q69" si="20">$D$68*E67</f>
        <v>#DIV/0!</v>
      </c>
      <c r="F69" s="5" t="e">
        <f t="shared" si="20"/>
        <v>#DIV/0!</v>
      </c>
      <c r="G69" s="5" t="e">
        <f t="shared" si="20"/>
        <v>#DIV/0!</v>
      </c>
      <c r="H69" s="5" t="e">
        <f t="shared" si="20"/>
        <v>#DIV/0!</v>
      </c>
      <c r="I69" s="5" t="e">
        <f t="shared" si="20"/>
        <v>#DIV/0!</v>
      </c>
      <c r="J69" s="5" t="e">
        <f t="shared" si="20"/>
        <v>#DIV/0!</v>
      </c>
      <c r="K69" s="5" t="e">
        <f t="shared" si="20"/>
        <v>#DIV/0!</v>
      </c>
      <c r="L69" s="5" t="e">
        <f t="shared" si="20"/>
        <v>#DIV/0!</v>
      </c>
      <c r="M69" s="5" t="e">
        <f t="shared" si="20"/>
        <v>#DIV/0!</v>
      </c>
      <c r="N69" s="5" t="e">
        <f t="shared" si="20"/>
        <v>#DIV/0!</v>
      </c>
      <c r="O69" s="5" t="e">
        <f t="shared" si="20"/>
        <v>#DIV/0!</v>
      </c>
      <c r="P69" s="5" t="e">
        <f t="shared" si="20"/>
        <v>#DIV/0!</v>
      </c>
      <c r="Q69" s="5" t="e">
        <f t="shared" si="20"/>
        <v>#DIV/0!</v>
      </c>
    </row>
    <row r="70" spans="1:17" ht="26.25" hidden="1" customHeight="1"/>
    <row r="71" spans="1:17" ht="19.5" hidden="1" customHeight="1">
      <c r="A71" s="63" t="s">
        <v>55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</row>
    <row r="72" spans="1:17" ht="46.5" hidden="1" customHeight="1">
      <c r="A72" s="62" t="s">
        <v>50</v>
      </c>
      <c r="B72" s="62"/>
      <c r="C72" s="62"/>
      <c r="D72" s="5">
        <f>D67+D62</f>
        <v>51026.22</v>
      </c>
      <c r="E72" s="5">
        <f t="shared" ref="E72:Q72" si="21">E67+E62</f>
        <v>55289.109400000001</v>
      </c>
      <c r="F72" s="5">
        <f t="shared" si="21"/>
        <v>56545.173999999999</v>
      </c>
      <c r="G72" s="5">
        <f t="shared" si="21"/>
        <v>57733.720599999993</v>
      </c>
      <c r="H72" s="5">
        <f t="shared" si="21"/>
        <v>55383.735799999995</v>
      </c>
      <c r="I72" s="5">
        <f t="shared" si="21"/>
        <v>71743.754599999986</v>
      </c>
      <c r="J72" s="5">
        <f t="shared" si="21"/>
        <v>72699.422399999996</v>
      </c>
      <c r="K72" s="5">
        <f t="shared" si="21"/>
        <v>5026.4208000000017</v>
      </c>
      <c r="L72" s="5">
        <f t="shared" si="21"/>
        <v>124070.9448</v>
      </c>
      <c r="M72" s="5">
        <f t="shared" si="21"/>
        <v>11150.015600000001</v>
      </c>
      <c r="N72" s="5">
        <f t="shared" si="21"/>
        <v>87523.484199999977</v>
      </c>
      <c r="O72" s="5">
        <f t="shared" si="21"/>
        <v>61914.946799999991</v>
      </c>
      <c r="P72" s="5">
        <f t="shared" si="21"/>
        <v>60625.199599999993</v>
      </c>
      <c r="Q72" s="5">
        <f t="shared" si="21"/>
        <v>63101.182400000005</v>
      </c>
    </row>
    <row r="73" spans="1:17" ht="45.75" hidden="1" customHeight="1">
      <c r="A73" s="62" t="s">
        <v>51</v>
      </c>
      <c r="B73" s="62"/>
      <c r="C73" s="62"/>
      <c r="D73" s="18" t="e">
        <f>D69+D64</f>
        <v>#DIV/0!</v>
      </c>
      <c r="E73" s="18" t="e">
        <f t="shared" ref="E73:P73" si="22">E69+E64</f>
        <v>#DIV/0!</v>
      </c>
      <c r="F73" s="18" t="e">
        <f t="shared" si="22"/>
        <v>#DIV/0!</v>
      </c>
      <c r="G73" s="18" t="e">
        <f t="shared" si="22"/>
        <v>#DIV/0!</v>
      </c>
      <c r="H73" s="18" t="e">
        <f t="shared" si="22"/>
        <v>#DIV/0!</v>
      </c>
      <c r="I73" s="18" t="e">
        <f t="shared" si="22"/>
        <v>#DIV/0!</v>
      </c>
      <c r="J73" s="18" t="e">
        <f t="shared" si="22"/>
        <v>#DIV/0!</v>
      </c>
      <c r="K73" s="18" t="e">
        <f t="shared" si="22"/>
        <v>#DIV/0!</v>
      </c>
      <c r="L73" s="18" t="e">
        <f t="shared" si="22"/>
        <v>#DIV/0!</v>
      </c>
      <c r="M73" s="18" t="e">
        <f t="shared" si="22"/>
        <v>#DIV/0!</v>
      </c>
      <c r="N73" s="18" t="e">
        <f t="shared" si="22"/>
        <v>#DIV/0!</v>
      </c>
      <c r="O73" s="18" t="e">
        <f t="shared" si="22"/>
        <v>#DIV/0!</v>
      </c>
      <c r="P73" s="18" t="e">
        <f t="shared" si="22"/>
        <v>#DIV/0!</v>
      </c>
      <c r="Q73" s="18" t="e">
        <f>Q69+Q64</f>
        <v>#DIV/0!</v>
      </c>
    </row>
    <row r="78" spans="1:17" ht="18.75">
      <c r="B78" s="20"/>
    </row>
  </sheetData>
  <mergeCells count="59">
    <mergeCell ref="A37:Q37"/>
    <mergeCell ref="B30:D30"/>
    <mergeCell ref="B21:B22"/>
    <mergeCell ref="A21:A22"/>
    <mergeCell ref="B19:B20"/>
    <mergeCell ref="A19:A20"/>
    <mergeCell ref="A29:A35"/>
    <mergeCell ref="B27:B28"/>
    <mergeCell ref="A27:A28"/>
    <mergeCell ref="B25:B26"/>
    <mergeCell ref="A25:A26"/>
    <mergeCell ref="A49:B49"/>
    <mergeCell ref="B2:G2"/>
    <mergeCell ref="B5:G5"/>
    <mergeCell ref="B15:B16"/>
    <mergeCell ref="A15:A16"/>
    <mergeCell ref="A13:A14"/>
    <mergeCell ref="B13:B14"/>
    <mergeCell ref="A9:A10"/>
    <mergeCell ref="A12:Q12"/>
    <mergeCell ref="B9:B10"/>
    <mergeCell ref="C9:Q9"/>
    <mergeCell ref="A38:A39"/>
    <mergeCell ref="B17:B18"/>
    <mergeCell ref="A17:A18"/>
    <mergeCell ref="B23:B24"/>
    <mergeCell ref="A23:A24"/>
    <mergeCell ref="A59:B59"/>
    <mergeCell ref="A36:C36"/>
    <mergeCell ref="A58:B58"/>
    <mergeCell ref="B40:B41"/>
    <mergeCell ref="A40:A41"/>
    <mergeCell ref="B42:B43"/>
    <mergeCell ref="A42:A43"/>
    <mergeCell ref="B44:B45"/>
    <mergeCell ref="A44:A45"/>
    <mergeCell ref="B46:B47"/>
    <mergeCell ref="A46:A47"/>
    <mergeCell ref="B52:B53"/>
    <mergeCell ref="A52:A53"/>
    <mergeCell ref="B38:B39"/>
    <mergeCell ref="A56:Q56"/>
    <mergeCell ref="A55:C55"/>
    <mergeCell ref="A54:C54"/>
    <mergeCell ref="A51:B51"/>
    <mergeCell ref="A1:Q1"/>
    <mergeCell ref="A73:C73"/>
    <mergeCell ref="A71:Q71"/>
    <mergeCell ref="D68:Q68"/>
    <mergeCell ref="A66:Q66"/>
    <mergeCell ref="A72:C72"/>
    <mergeCell ref="A67:C67"/>
    <mergeCell ref="A68:C68"/>
    <mergeCell ref="A69:C69"/>
    <mergeCell ref="A62:C62"/>
    <mergeCell ref="A63:C63"/>
    <mergeCell ref="A64:C64"/>
    <mergeCell ref="D63:Q63"/>
    <mergeCell ref="A61:Q61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41" orientation="landscape" horizontalDpi="180" verticalDpi="180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07768007845FA44B257027247838830" ma:contentTypeVersion="1" ma:contentTypeDescription="Создание документа." ma:contentTypeScope="" ma:versionID="b6c517a1732ec4b62aac360536a4ed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D9D2E98-C559-4A25-B7C2-37675D196659}"/>
</file>

<file path=customXml/itemProps2.xml><?xml version="1.0" encoding="utf-8"?>
<ds:datastoreItem xmlns:ds="http://schemas.openxmlformats.org/officeDocument/2006/customXml" ds:itemID="{5B20F6A9-1433-423D-A5E3-61AADDB6D697}"/>
</file>

<file path=customXml/itemProps3.xml><?xml version="1.0" encoding="utf-8"?>
<ds:datastoreItem xmlns:ds="http://schemas.openxmlformats.org/officeDocument/2006/customXml" ds:itemID="{D8EE8237-D6F6-4EAC-B301-E6909EC0D4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2019-09-17T03:36:04Z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0x010100707768007845FA44B257027247838830</vt:lpwstr>
  </property>
</Properties>
</file>