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L47" i="1"/>
  <c r="L45"/>
  <c r="L43"/>
  <c r="L41"/>
  <c r="L39"/>
  <c r="L37"/>
  <c r="L35"/>
  <c r="L18"/>
  <c r="L16"/>
  <c r="L17" s="1"/>
  <c r="L14"/>
  <c r="K11"/>
  <c r="L11"/>
  <c r="K9"/>
  <c r="L9"/>
  <c r="J47"/>
  <c r="J45"/>
  <c r="J43"/>
  <c r="J41"/>
  <c r="J39"/>
  <c r="J37"/>
  <c r="J35"/>
  <c r="J34"/>
  <c r="J18"/>
  <c r="J16"/>
  <c r="J14"/>
  <c r="I47"/>
  <c r="I45"/>
  <c r="I43"/>
  <c r="I41"/>
  <c r="I39"/>
  <c r="I37"/>
  <c r="I35"/>
  <c r="I18"/>
  <c r="I16"/>
  <c r="I14"/>
  <c r="Q47"/>
  <c r="Q45"/>
  <c r="Q43"/>
  <c r="Q41"/>
  <c r="Q39"/>
  <c r="Q37"/>
  <c r="Q35"/>
  <c r="Q18"/>
  <c r="Q16"/>
  <c r="Q14"/>
  <c r="P47"/>
  <c r="P45"/>
  <c r="P43"/>
  <c r="P41"/>
  <c r="P39"/>
  <c r="P37"/>
  <c r="P35"/>
  <c r="P18"/>
  <c r="P16"/>
  <c r="P14"/>
  <c r="O47"/>
  <c r="O45"/>
  <c r="O43"/>
  <c r="O41"/>
  <c r="O39"/>
  <c r="O37"/>
  <c r="O35"/>
  <c r="O18"/>
  <c r="O16"/>
  <c r="O14"/>
  <c r="N47"/>
  <c r="N45"/>
  <c r="N43"/>
  <c r="N41"/>
  <c r="N39"/>
  <c r="N40" s="1"/>
  <c r="N37"/>
  <c r="N35"/>
  <c r="N18"/>
  <c r="N16"/>
  <c r="N14"/>
  <c r="G47"/>
  <c r="G45"/>
  <c r="G43"/>
  <c r="G41"/>
  <c r="G39"/>
  <c r="G37"/>
  <c r="G35"/>
  <c r="G18"/>
  <c r="G16"/>
  <c r="G14"/>
  <c r="H47"/>
  <c r="H45"/>
  <c r="H43"/>
  <c r="H41"/>
  <c r="H39"/>
  <c r="H37"/>
  <c r="H35"/>
  <c r="H20"/>
  <c r="H18"/>
  <c r="H16"/>
  <c r="H14"/>
  <c r="F45"/>
  <c r="F43"/>
  <c r="F41"/>
  <c r="F39"/>
  <c r="F37"/>
  <c r="F35"/>
  <c r="F18"/>
  <c r="F16"/>
  <c r="F14"/>
  <c r="D47"/>
  <c r="D45"/>
  <c r="D43"/>
  <c r="D41"/>
  <c r="D39"/>
  <c r="D37"/>
  <c r="D35"/>
  <c r="D18"/>
  <c r="D16"/>
  <c r="D14"/>
  <c r="E47"/>
  <c r="E45"/>
  <c r="E43"/>
  <c r="E41"/>
  <c r="E39"/>
  <c r="E37"/>
  <c r="E35"/>
  <c r="E18"/>
  <c r="E16"/>
  <c r="E14"/>
  <c r="J11"/>
  <c r="J9"/>
  <c r="I11"/>
  <c r="I9"/>
  <c r="Q11" l="1"/>
  <c r="Q9"/>
  <c r="P11" l="1"/>
  <c r="P9"/>
  <c r="O11" l="1"/>
  <c r="O9"/>
  <c r="N11"/>
  <c r="N9"/>
  <c r="H11"/>
  <c r="H9"/>
  <c r="G11"/>
  <c r="G9"/>
  <c r="F11"/>
  <c r="F9"/>
  <c r="D11"/>
  <c r="D9"/>
  <c r="E11"/>
  <c r="E9"/>
  <c r="E50"/>
  <c r="F50"/>
  <c r="G50"/>
  <c r="H50"/>
  <c r="I50"/>
  <c r="J50"/>
  <c r="K50"/>
  <c r="L50"/>
  <c r="M50"/>
  <c r="N50"/>
  <c r="O50"/>
  <c r="P50"/>
  <c r="Q50"/>
  <c r="D50"/>
  <c r="D65"/>
  <c r="D60"/>
  <c r="D34"/>
  <c r="E48"/>
  <c r="F48"/>
  <c r="G48"/>
  <c r="H48"/>
  <c r="I48"/>
  <c r="J48"/>
  <c r="K48"/>
  <c r="L48"/>
  <c r="M48"/>
  <c r="N48"/>
  <c r="O48"/>
  <c r="P48"/>
  <c r="Q48"/>
  <c r="D48"/>
  <c r="G46"/>
  <c r="F46"/>
  <c r="E46"/>
  <c r="H46"/>
  <c r="I46"/>
  <c r="J46"/>
  <c r="K46"/>
  <c r="L46"/>
  <c r="M46"/>
  <c r="N46"/>
  <c r="O46"/>
  <c r="P46"/>
  <c r="Q46"/>
  <c r="D46"/>
  <c r="E44"/>
  <c r="F44"/>
  <c r="G44"/>
  <c r="H44"/>
  <c r="I44"/>
  <c r="J44"/>
  <c r="K44"/>
  <c r="L44"/>
  <c r="M44"/>
  <c r="N44"/>
  <c r="O44"/>
  <c r="P44"/>
  <c r="Q44"/>
  <c r="D44"/>
  <c r="E42"/>
  <c r="F42"/>
  <c r="G42"/>
  <c r="H42"/>
  <c r="I42"/>
  <c r="J42"/>
  <c r="K42"/>
  <c r="L42"/>
  <c r="M42"/>
  <c r="N42"/>
  <c r="O42"/>
  <c r="P42"/>
  <c r="Q42"/>
  <c r="D42"/>
  <c r="E40"/>
  <c r="F40"/>
  <c r="G40"/>
  <c r="H40"/>
  <c r="I40"/>
  <c r="J40"/>
  <c r="K40"/>
  <c r="L40"/>
  <c r="M40"/>
  <c r="O40"/>
  <c r="P40"/>
  <c r="Q40"/>
  <c r="D40"/>
  <c r="E38"/>
  <c r="F38"/>
  <c r="G38"/>
  <c r="H38"/>
  <c r="I38"/>
  <c r="J38"/>
  <c r="K38"/>
  <c r="L38"/>
  <c r="M38"/>
  <c r="N38"/>
  <c r="O38"/>
  <c r="P38"/>
  <c r="Q38"/>
  <c r="D38"/>
  <c r="E36"/>
  <c r="F36"/>
  <c r="G36"/>
  <c r="H36"/>
  <c r="I36"/>
  <c r="J36"/>
  <c r="K36"/>
  <c r="L36"/>
  <c r="M36"/>
  <c r="N36"/>
  <c r="O36"/>
  <c r="P36"/>
  <c r="Q36"/>
  <c r="D36"/>
  <c r="E34"/>
  <c r="F34"/>
  <c r="G34"/>
  <c r="H34"/>
  <c r="I34"/>
  <c r="K34"/>
  <c r="L34"/>
  <c r="M34"/>
  <c r="N34"/>
  <c r="O34"/>
  <c r="P34"/>
  <c r="Q34"/>
  <c r="E30"/>
  <c r="F30"/>
  <c r="G30"/>
  <c r="H30"/>
  <c r="I30"/>
  <c r="J30"/>
  <c r="K30"/>
  <c r="L30"/>
  <c r="M30"/>
  <c r="N30"/>
  <c r="O30"/>
  <c r="P30"/>
  <c r="Q30"/>
  <c r="D30"/>
  <c r="E23"/>
  <c r="F23"/>
  <c r="G23"/>
  <c r="H23"/>
  <c r="I23"/>
  <c r="J23"/>
  <c r="K23"/>
  <c r="L23"/>
  <c r="M23"/>
  <c r="N23"/>
  <c r="O23"/>
  <c r="P23"/>
  <c r="Q23"/>
  <c r="D23"/>
  <c r="E21"/>
  <c r="F21"/>
  <c r="G21"/>
  <c r="H21"/>
  <c r="I21"/>
  <c r="J21"/>
  <c r="K21"/>
  <c r="L21"/>
  <c r="M21"/>
  <c r="N21"/>
  <c r="O21"/>
  <c r="P21"/>
  <c r="Q21"/>
  <c r="D21"/>
  <c r="E19"/>
  <c r="F19"/>
  <c r="G19"/>
  <c r="H19"/>
  <c r="I19"/>
  <c r="J19"/>
  <c r="K19"/>
  <c r="L19"/>
  <c r="M19"/>
  <c r="N19"/>
  <c r="O19"/>
  <c r="P19"/>
  <c r="Q19"/>
  <c r="D19"/>
  <c r="E17"/>
  <c r="F17"/>
  <c r="G17"/>
  <c r="H17"/>
  <c r="I17"/>
  <c r="J17"/>
  <c r="K17"/>
  <c r="M17"/>
  <c r="N17"/>
  <c r="O17"/>
  <c r="P17"/>
  <c r="Q17"/>
  <c r="D17"/>
  <c r="E15"/>
  <c r="F15"/>
  <c r="G15"/>
  <c r="H15"/>
  <c r="I15"/>
  <c r="J15"/>
  <c r="K15"/>
  <c r="L15"/>
  <c r="M15"/>
  <c r="N15"/>
  <c r="O15"/>
  <c r="P15"/>
  <c r="Q15"/>
  <c r="D15"/>
  <c r="E13"/>
  <c r="F13"/>
  <c r="G13"/>
  <c r="H13"/>
  <c r="I13"/>
  <c r="J13"/>
  <c r="K13"/>
  <c r="L13"/>
  <c r="M13"/>
  <c r="N13"/>
  <c r="O13"/>
  <c r="P13"/>
  <c r="Q13"/>
  <c r="D13"/>
  <c r="D27"/>
  <c r="D28"/>
  <c r="D29"/>
  <c r="Q31" l="1"/>
  <c r="M31"/>
  <c r="I31"/>
  <c r="P31"/>
  <c r="L31"/>
  <c r="L59" s="1"/>
  <c r="L61" s="1"/>
  <c r="J31"/>
  <c r="N31"/>
  <c r="G31"/>
  <c r="G59" s="1"/>
  <c r="G61" s="1"/>
  <c r="K31"/>
  <c r="K59" s="1"/>
  <c r="K61" s="1"/>
  <c r="E31"/>
  <c r="F31"/>
  <c r="H31"/>
  <c r="O31"/>
  <c r="H51"/>
  <c r="H64" s="1"/>
  <c r="H66" s="1"/>
  <c r="D51"/>
  <c r="D64" s="1"/>
  <c r="P51"/>
  <c r="P64" s="1"/>
  <c r="P66" s="1"/>
  <c r="L51"/>
  <c r="L64" s="1"/>
  <c r="L66" s="1"/>
  <c r="D31"/>
  <c r="O51"/>
  <c r="O64" s="1"/>
  <c r="O66" s="1"/>
  <c r="K51"/>
  <c r="G51"/>
  <c r="G64" s="1"/>
  <c r="G66" s="1"/>
  <c r="Q51"/>
  <c r="Q64" s="1"/>
  <c r="Q66" s="1"/>
  <c r="M51"/>
  <c r="M64" s="1"/>
  <c r="M66" s="1"/>
  <c r="I51"/>
  <c r="I64" s="1"/>
  <c r="I66" s="1"/>
  <c r="E51"/>
  <c r="E64" s="1"/>
  <c r="E66" s="1"/>
  <c r="N51"/>
  <c r="N64" s="1"/>
  <c r="J51"/>
  <c r="J64" s="1"/>
  <c r="F51"/>
  <c r="F64" s="1"/>
  <c r="C27"/>
  <c r="K52" l="1"/>
  <c r="L52"/>
  <c r="G52"/>
  <c r="K64"/>
  <c r="K66" s="1"/>
  <c r="K70" s="1"/>
  <c r="L69"/>
  <c r="L70"/>
  <c r="M59"/>
  <c r="M61" s="1"/>
  <c r="M70" s="1"/>
  <c r="M52"/>
  <c r="I59"/>
  <c r="I61" s="1"/>
  <c r="I70" s="1"/>
  <c r="I52"/>
  <c r="Q59"/>
  <c r="Q61" s="1"/>
  <c r="Q70" s="1"/>
  <c r="Q52"/>
  <c r="P59"/>
  <c r="P52"/>
  <c r="O59"/>
  <c r="O61" s="1"/>
  <c r="O70" s="1"/>
  <c r="O52"/>
  <c r="N59"/>
  <c r="N61" s="1"/>
  <c r="N52"/>
  <c r="J59"/>
  <c r="J61" s="1"/>
  <c r="J52"/>
  <c r="H59"/>
  <c r="H52"/>
  <c r="F59"/>
  <c r="F61" s="1"/>
  <c r="F52"/>
  <c r="E59"/>
  <c r="E61" s="1"/>
  <c r="E70" s="1"/>
  <c r="E52"/>
  <c r="D59"/>
  <c r="D61" s="1"/>
  <c r="D52"/>
  <c r="G70"/>
  <c r="F66"/>
  <c r="J66"/>
  <c r="D66"/>
  <c r="N66"/>
  <c r="G69"/>
  <c r="M69"/>
  <c r="C29"/>
  <c r="C28"/>
  <c r="I69" l="1"/>
  <c r="K69"/>
  <c r="Q69"/>
  <c r="P61"/>
  <c r="P70" s="1"/>
  <c r="P69"/>
  <c r="O69"/>
  <c r="N70"/>
  <c r="N69"/>
  <c r="J70"/>
  <c r="J69"/>
  <c r="H69"/>
  <c r="H61"/>
  <c r="H70" s="1"/>
  <c r="F70"/>
  <c r="F69"/>
  <c r="E69"/>
  <c r="D70"/>
  <c r="D69"/>
</calcChain>
</file>

<file path=xl/sharedStrings.xml><?xml version="1.0" encoding="utf-8"?>
<sst xmlns="http://schemas.openxmlformats.org/spreadsheetml/2006/main" count="110" uniqueCount="83">
  <si>
    <t xml:space="preserve">Устройство дорожного покрытия </t>
  </si>
  <si>
    <t xml:space="preserve">Работы </t>
  </si>
  <si>
    <t xml:space="preserve">Объем </t>
  </si>
  <si>
    <t xml:space="preserve">Установка  малых архитектурных форм </t>
  </si>
  <si>
    <t xml:space="preserve">Монтаж освещения на фасаде дома </t>
  </si>
  <si>
    <t xml:space="preserve">на 1 м.п. </t>
  </si>
  <si>
    <t xml:space="preserve">Установка бордюрного камня </t>
  </si>
  <si>
    <t xml:space="preserve">за 1 ед. </t>
  </si>
  <si>
    <t xml:space="preserve">Вид работ </t>
  </si>
  <si>
    <t xml:space="preserve">Процентное соотношение стоимости вида работ к общей сметной стоимости </t>
  </si>
  <si>
    <t xml:space="preserve">% от сметной стоимости с бордюрами </t>
  </si>
  <si>
    <t xml:space="preserve">% от сметной стоимости без бордюрами </t>
  </si>
  <si>
    <t xml:space="preserve">Стоимость работ, руб для Красноярска </t>
  </si>
  <si>
    <t xml:space="preserve">Стоимость работ, руб для       Норильска  </t>
  </si>
  <si>
    <t xml:space="preserve">Стоимость работ, руб для       Остальных территорий Таймырского ОА  </t>
  </si>
  <si>
    <t xml:space="preserve">Стоимость работ, руб для                       Туруханского района (Эвенкия) </t>
  </si>
  <si>
    <t xml:space="preserve">Стоимость работ, руб для Туруханска    </t>
  </si>
  <si>
    <t xml:space="preserve">Стоимость работ, руб для  Ачинска </t>
  </si>
  <si>
    <t>Стоимость работ, руб                                  для  Шарыпово</t>
  </si>
  <si>
    <t>Стоимость работ, руб                                         для   Канска</t>
  </si>
  <si>
    <t xml:space="preserve">Стоимость работ, руб                                            для Минусинска </t>
  </si>
  <si>
    <t xml:space="preserve">Стоимость работ, руб для Дудинки   </t>
  </si>
  <si>
    <t>Стоимость работ, руб                                  для пгт. Северо-Енисейска</t>
  </si>
  <si>
    <t xml:space="preserve">Стоимость работ, руб                                      для с. Богучаны </t>
  </si>
  <si>
    <t xml:space="preserve">Стоимость работ, руб                                  для г. Кодинск </t>
  </si>
  <si>
    <t>Стоимость работ, руб для г. Лесосибирска</t>
  </si>
  <si>
    <t xml:space="preserve">на 1 м2                 </t>
  </si>
  <si>
    <t>Установка урн</t>
  </si>
  <si>
    <t>Установка скамеек</t>
  </si>
  <si>
    <t xml:space="preserve">Установка светильника на фасад дома </t>
  </si>
  <si>
    <t>Прокладка  кабеля по фасаду дома</t>
  </si>
  <si>
    <t xml:space="preserve">Зоны сметного ценообразования </t>
  </si>
  <si>
    <t xml:space="preserve">Дополнительный перечень </t>
  </si>
  <si>
    <t xml:space="preserve">Установка качели двухместной </t>
  </si>
  <si>
    <t>Установка качели балансир</t>
  </si>
  <si>
    <t xml:space="preserve">Установка карусели </t>
  </si>
  <si>
    <t xml:space="preserve">Установка детского игрового комплекса </t>
  </si>
  <si>
    <t xml:space="preserve">Установка спортивного комплекса </t>
  </si>
  <si>
    <t xml:space="preserve">Установка восьмигранной беседки </t>
  </si>
  <si>
    <t>Перевозка на 30 км</t>
  </si>
  <si>
    <t>за 1 тонну</t>
  </si>
  <si>
    <t xml:space="preserve">Минимальный перечень </t>
  </si>
  <si>
    <t>№ п/п</t>
  </si>
  <si>
    <t>Установка песочницы с крышкой и навесом</t>
  </si>
  <si>
    <t>Площадь асфальтирования, кв.м</t>
  </si>
  <si>
    <t>Длина бордюрного камня, м.п.</t>
  </si>
  <si>
    <t>Протяженность, м.п.</t>
  </si>
  <si>
    <t>Масса груза, т</t>
  </si>
  <si>
    <t>Площадь, кв.м</t>
  </si>
  <si>
    <t xml:space="preserve">Количетсво, шт </t>
  </si>
  <si>
    <t xml:space="preserve">Площадь помещений МКД  </t>
  </si>
  <si>
    <t xml:space="preserve">Площадь квартиры   </t>
  </si>
  <si>
    <t xml:space="preserve">Итого по минимальному перечню </t>
  </si>
  <si>
    <t xml:space="preserve">Итого по дополнительному  перечню </t>
  </si>
  <si>
    <t xml:space="preserve">Суммы софинансирования граждан  (2%) на весь МКД </t>
  </si>
  <si>
    <t xml:space="preserve">Доля в праве общей долевой собственности квартиры </t>
  </si>
  <si>
    <t xml:space="preserve">Суммы софинансирования граждан  (2%) для  квартиры </t>
  </si>
  <si>
    <t xml:space="preserve">Суммы софинансирования граждан  (20%) на весь МКД </t>
  </si>
  <si>
    <t xml:space="preserve">Суммы софинансирования граждан  (20%) для  квартиры </t>
  </si>
  <si>
    <t xml:space="preserve">Итого сумма софинансирования граждан </t>
  </si>
  <si>
    <t xml:space="preserve">Итого сумма софинансирования граждан для  квартиры </t>
  </si>
  <si>
    <t xml:space="preserve">Таблица 6.2 - Калькулятор расчета суммы финансового участия собственников </t>
  </si>
  <si>
    <t xml:space="preserve">Сумма софинансирования граждан по минимальному перечню </t>
  </si>
  <si>
    <t xml:space="preserve">Сумма софинансирования граждан по дополнительному перечню </t>
  </si>
  <si>
    <t xml:space="preserve">Сумма софинансирования граждан по минимальному и дополнительному перечню </t>
  </si>
  <si>
    <t xml:space="preserve">Итого по минимальному и  дополнительному  перечням </t>
  </si>
  <si>
    <t>Размер дома (ширина х длина)</t>
  </si>
  <si>
    <t xml:space="preserve">Этажность </t>
  </si>
  <si>
    <t xml:space="preserve">Количество квартир </t>
  </si>
  <si>
    <t xml:space="preserve">Количество подъездов </t>
  </si>
  <si>
    <t xml:space="preserve">Площадь помещений МКД </t>
  </si>
  <si>
    <t xml:space="preserve">Площадь придомовой территории </t>
  </si>
  <si>
    <t xml:space="preserve">Площадь входа в подъезд </t>
  </si>
  <si>
    <t>12м х 40м</t>
  </si>
  <si>
    <t xml:space="preserve">642 кв.м </t>
  </si>
  <si>
    <t>200 кв.м                    (5м х 40м)</t>
  </si>
  <si>
    <t>10 кв.м.                     (2,5м х 2м)</t>
  </si>
  <si>
    <t>Демонтаж бордюрного камня</t>
  </si>
  <si>
    <t xml:space="preserve">Разборка покрытий асфальтобетонных </t>
  </si>
  <si>
    <t>Площадь разборки , кв.м</t>
  </si>
  <si>
    <t>Асфальтирование,                    t = 8 см</t>
  </si>
  <si>
    <t>Устройство песчаного основания (с учетом дренажного слоя из щебня)  под детскую/ спортивную площадку</t>
  </si>
  <si>
    <t xml:space="preserve">Калькулятор определения стоимости благоустройства дворовой территории </t>
  </si>
</sst>
</file>

<file path=xl/styles.xml><?xml version="1.0" encoding="utf-8"?>
<styleSheet xmlns="http://schemas.openxmlformats.org/spreadsheetml/2006/main">
  <numFmts count="1">
    <numFmt numFmtId="164" formatCode="0.0000000000"/>
  </numFmts>
  <fonts count="6">
    <font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gradientFill type="path" left="0.5" right="0.5" top="0.5" bottom="0.5">
        <stop position="0">
          <color theme="0"/>
        </stop>
        <stop position="1">
          <color theme="6" tint="0.40000610370189521"/>
        </stop>
      </gradient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2" borderId="1" xfId="0" applyFill="1" applyBorder="1" applyAlignment="1">
      <alignment horizontal="center" vertical="center"/>
    </xf>
    <xf numFmtId="9" fontId="0" fillId="0" borderId="1" xfId="0" applyNumberFormat="1" applyBorder="1"/>
    <xf numFmtId="0" fontId="0" fillId="2" borderId="1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0" xfId="0" applyFill="1"/>
    <xf numFmtId="0" fontId="2" fillId="0" borderId="0" xfId="0" applyFont="1"/>
    <xf numFmtId="4" fontId="2" fillId="0" borderId="0" xfId="0" applyNumberFormat="1" applyFont="1"/>
    <xf numFmtId="0" fontId="2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3" fillId="3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/>
    <xf numFmtId="4" fontId="2" fillId="4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5" borderId="1" xfId="0" applyFill="1" applyBorder="1"/>
    <xf numFmtId="0" fontId="0" fillId="6" borderId="1" xfId="0" applyFill="1" applyBorder="1" applyAlignment="1">
      <alignment wrapText="1"/>
    </xf>
    <xf numFmtId="0" fontId="0" fillId="6" borderId="1" xfId="0" applyFill="1" applyBorder="1"/>
    <xf numFmtId="0" fontId="1" fillId="6" borderId="1" xfId="0" applyFont="1" applyFill="1" applyBorder="1" applyAlignment="1">
      <alignment wrapText="1"/>
    </xf>
    <xf numFmtId="0" fontId="0" fillId="6" borderId="1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 wrapText="1"/>
    </xf>
    <xf numFmtId="9" fontId="0" fillId="6" borderId="1" xfId="0" applyNumberFormat="1" applyFill="1" applyBorder="1"/>
    <xf numFmtId="2" fontId="2" fillId="0" borderId="1" xfId="0" applyNumberFormat="1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/>
    <xf numFmtId="4" fontId="3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164" fontId="2" fillId="0" borderId="3" xfId="0" applyNumberFormat="1" applyFont="1" applyBorder="1" applyAlignment="1">
      <alignment horizontal="center" vertical="center"/>
    </xf>
    <xf numFmtId="164" fontId="2" fillId="0" borderId="5" xfId="0" applyNumberFormat="1" applyFont="1" applyBorder="1" applyAlignment="1">
      <alignment horizontal="center" vertical="center"/>
    </xf>
    <xf numFmtId="164" fontId="2" fillId="0" borderId="4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75"/>
  <sheetViews>
    <sheetView showGridLines="0" tabSelected="1" view="pageBreakPreview" topLeftCell="A18" zoomScale="70" zoomScaleNormal="70" zoomScaleSheetLayoutView="70" workbookViewId="0">
      <selection sqref="A1:Q1"/>
    </sheetView>
  </sheetViews>
  <sheetFormatPr defaultRowHeight="15"/>
  <cols>
    <col min="1" max="1" width="7" customWidth="1"/>
    <col min="2" max="2" width="28.5703125" customWidth="1"/>
    <col min="3" max="3" width="22.42578125" customWidth="1"/>
    <col min="4" max="4" width="24.28515625" customWidth="1"/>
    <col min="5" max="5" width="20.42578125" customWidth="1"/>
    <col min="6" max="6" width="18.42578125" customWidth="1"/>
    <col min="7" max="7" width="22.7109375" customWidth="1"/>
    <col min="8" max="8" width="23.7109375" customWidth="1"/>
    <col min="9" max="9" width="20.7109375" customWidth="1"/>
    <col min="10" max="10" width="24.7109375" customWidth="1"/>
    <col min="11" max="11" width="20.7109375" hidden="1" customWidth="1"/>
    <col min="12" max="12" width="23.42578125" customWidth="1"/>
    <col min="13" max="13" width="20.7109375" hidden="1" customWidth="1"/>
    <col min="14" max="14" width="22.7109375" customWidth="1"/>
    <col min="15" max="15" width="25.5703125" customWidth="1"/>
    <col min="16" max="16" width="23.28515625" customWidth="1"/>
    <col min="17" max="17" width="23.140625" customWidth="1"/>
  </cols>
  <sheetData>
    <row r="1" spans="1:17" ht="45.75" customHeight="1">
      <c r="A1" s="45" t="s">
        <v>82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</row>
    <row r="2" spans="1:17" ht="61.5" hidden="1" customHeight="1">
      <c r="B2" s="30" t="s">
        <v>66</v>
      </c>
      <c r="C2" s="30" t="s">
        <v>67</v>
      </c>
      <c r="D2" s="30" t="s">
        <v>68</v>
      </c>
      <c r="E2" s="30" t="s">
        <v>69</v>
      </c>
      <c r="F2" s="30" t="s">
        <v>70</v>
      </c>
      <c r="G2" s="30" t="s">
        <v>71</v>
      </c>
      <c r="H2" s="30" t="s">
        <v>72</v>
      </c>
      <c r="I2" s="29"/>
      <c r="J2" s="29"/>
      <c r="K2" s="29"/>
      <c r="L2" s="29"/>
      <c r="M2" s="29"/>
      <c r="N2" s="29"/>
      <c r="O2" s="29"/>
      <c r="P2" s="29"/>
      <c r="Q2" s="29"/>
    </row>
    <row r="3" spans="1:17" ht="12.75" hidden="1" customHeight="1">
      <c r="B3" s="8" t="s">
        <v>73</v>
      </c>
      <c r="C3" s="8">
        <v>2</v>
      </c>
      <c r="D3" s="8">
        <v>16</v>
      </c>
      <c r="E3" s="8">
        <v>2</v>
      </c>
      <c r="F3" s="9" t="s">
        <v>74</v>
      </c>
      <c r="G3" s="8" t="s">
        <v>75</v>
      </c>
      <c r="H3" s="8" t="s">
        <v>76</v>
      </c>
      <c r="I3" s="29"/>
      <c r="J3" s="29"/>
      <c r="K3" s="29"/>
      <c r="L3" s="29"/>
      <c r="M3" s="29"/>
      <c r="N3" s="29"/>
      <c r="O3" s="29"/>
      <c r="P3" s="29"/>
      <c r="Q3" s="29"/>
    </row>
    <row r="4" spans="1:17" ht="33.6" customHeight="1">
      <c r="A4" s="62" t="s">
        <v>42</v>
      </c>
      <c r="B4" s="64" t="s">
        <v>1</v>
      </c>
      <c r="C4" s="64" t="s">
        <v>31</v>
      </c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</row>
    <row r="5" spans="1:17" ht="112.5">
      <c r="A5" s="62"/>
      <c r="B5" s="64"/>
      <c r="C5" s="28" t="s">
        <v>2</v>
      </c>
      <c r="D5" s="28" t="s">
        <v>12</v>
      </c>
      <c r="E5" s="28" t="s">
        <v>17</v>
      </c>
      <c r="F5" s="28" t="s">
        <v>19</v>
      </c>
      <c r="G5" s="28" t="s">
        <v>18</v>
      </c>
      <c r="H5" s="28" t="s">
        <v>20</v>
      </c>
      <c r="I5" s="28" t="s">
        <v>13</v>
      </c>
      <c r="J5" s="28" t="s">
        <v>21</v>
      </c>
      <c r="K5" s="28" t="s">
        <v>14</v>
      </c>
      <c r="L5" s="28" t="s">
        <v>16</v>
      </c>
      <c r="M5" s="28" t="s">
        <v>15</v>
      </c>
      <c r="N5" s="28" t="s">
        <v>22</v>
      </c>
      <c r="O5" s="28" t="s">
        <v>25</v>
      </c>
      <c r="P5" s="28" t="s">
        <v>23</v>
      </c>
      <c r="Q5" s="28" t="s">
        <v>24</v>
      </c>
    </row>
    <row r="6" spans="1:17" ht="18.75">
      <c r="A6" s="18">
        <v>1</v>
      </c>
      <c r="B6" s="18">
        <v>2</v>
      </c>
      <c r="C6" s="18">
        <v>3</v>
      </c>
      <c r="D6" s="18">
        <v>4</v>
      </c>
      <c r="E6" s="18">
        <v>5</v>
      </c>
      <c r="F6" s="18">
        <v>6</v>
      </c>
      <c r="G6" s="18">
        <v>7</v>
      </c>
      <c r="H6" s="18">
        <v>8</v>
      </c>
      <c r="I6" s="18">
        <v>9</v>
      </c>
      <c r="J6" s="18">
        <v>10</v>
      </c>
      <c r="K6" s="18">
        <v>11</v>
      </c>
      <c r="L6" s="18">
        <v>12</v>
      </c>
      <c r="M6" s="18">
        <v>13</v>
      </c>
      <c r="N6" s="18">
        <v>14</v>
      </c>
      <c r="O6" s="18">
        <v>15</v>
      </c>
      <c r="P6" s="18">
        <v>16</v>
      </c>
      <c r="Q6" s="18">
        <v>17</v>
      </c>
    </row>
    <row r="7" spans="1:17" s="13" customFormat="1" ht="26.25" customHeight="1">
      <c r="A7" s="63" t="s">
        <v>41</v>
      </c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</row>
    <row r="8" spans="1:17" s="13" customFormat="1" ht="38.25" customHeight="1">
      <c r="A8" s="32">
        <v>1</v>
      </c>
      <c r="B8" s="7" t="s">
        <v>77</v>
      </c>
      <c r="C8" s="8" t="s">
        <v>5</v>
      </c>
      <c r="D8" s="8">
        <v>316.14999999999998</v>
      </c>
      <c r="E8" s="8">
        <v>310.7</v>
      </c>
      <c r="F8" s="8">
        <v>319.68</v>
      </c>
      <c r="G8" s="8">
        <v>319.54000000000002</v>
      </c>
      <c r="H8" s="8">
        <v>318.10000000000002</v>
      </c>
      <c r="I8" s="8">
        <v>332.21</v>
      </c>
      <c r="J8" s="8">
        <v>339.12</v>
      </c>
      <c r="K8" s="33"/>
      <c r="L8" s="8">
        <v>399.18</v>
      </c>
      <c r="M8" s="31"/>
      <c r="N8" s="8">
        <v>397.96</v>
      </c>
      <c r="O8" s="8">
        <v>359.38</v>
      </c>
      <c r="P8" s="8">
        <v>407.5</v>
      </c>
      <c r="Q8" s="8">
        <v>370.3</v>
      </c>
    </row>
    <row r="9" spans="1:17" s="13" customFormat="1" ht="26.25" customHeight="1">
      <c r="A9" s="47" t="s">
        <v>45</v>
      </c>
      <c r="B9" s="47"/>
      <c r="C9" s="22">
        <v>0</v>
      </c>
      <c r="D9" s="10">
        <f>$C$9*D8</f>
        <v>0</v>
      </c>
      <c r="E9" s="10">
        <f>E8*$C$9</f>
        <v>0</v>
      </c>
      <c r="F9" s="10">
        <f>$C$9*F8</f>
        <v>0</v>
      </c>
      <c r="G9" s="10">
        <f>$C$9*G8</f>
        <v>0</v>
      </c>
      <c r="H9" s="10">
        <f>$C$9*H8</f>
        <v>0</v>
      </c>
      <c r="I9" s="10">
        <f>$C$9*I8</f>
        <v>0</v>
      </c>
      <c r="J9" s="10">
        <f>$C$9*J8</f>
        <v>0</v>
      </c>
      <c r="K9" s="10">
        <f t="shared" ref="K9:L9" si="0">$C$9*K8</f>
        <v>0</v>
      </c>
      <c r="L9" s="10">
        <f t="shared" si="0"/>
        <v>0</v>
      </c>
      <c r="M9" s="44"/>
      <c r="N9" s="10">
        <f>$C$9*N8</f>
        <v>0</v>
      </c>
      <c r="O9" s="10">
        <f>$C$9*O8</f>
        <v>0</v>
      </c>
      <c r="P9" s="10">
        <f>$C$9*P8</f>
        <v>0</v>
      </c>
      <c r="Q9" s="10">
        <f>$C$9*Q8</f>
        <v>0</v>
      </c>
    </row>
    <row r="10" spans="1:17" s="13" customFormat="1" ht="48.75" customHeight="1">
      <c r="A10" s="8">
        <v>2</v>
      </c>
      <c r="B10" s="8" t="s">
        <v>78</v>
      </c>
      <c r="C10" s="8" t="s">
        <v>26</v>
      </c>
      <c r="D10" s="8">
        <v>100.45</v>
      </c>
      <c r="E10" s="8">
        <v>98.66</v>
      </c>
      <c r="F10" s="8">
        <v>101.87</v>
      </c>
      <c r="G10" s="8">
        <v>101.87</v>
      </c>
      <c r="H10" s="8">
        <v>101.45</v>
      </c>
      <c r="I10" s="8">
        <v>106.4</v>
      </c>
      <c r="J10" s="8">
        <v>108.61</v>
      </c>
      <c r="K10" s="33"/>
      <c r="L10" s="42">
        <v>129</v>
      </c>
      <c r="M10" s="31"/>
      <c r="N10" s="8">
        <v>128.32</v>
      </c>
      <c r="O10" s="8">
        <v>115.54</v>
      </c>
      <c r="P10" s="8">
        <v>131.15</v>
      </c>
      <c r="Q10" s="8">
        <v>119.41</v>
      </c>
    </row>
    <row r="11" spans="1:17" s="13" customFormat="1" ht="35.25" customHeight="1">
      <c r="A11" s="47" t="s">
        <v>79</v>
      </c>
      <c r="B11" s="47"/>
      <c r="C11" s="22">
        <v>0</v>
      </c>
      <c r="D11" s="10">
        <f>$C$11*D10</f>
        <v>0</v>
      </c>
      <c r="E11" s="10">
        <f>$C$11*E10</f>
        <v>0</v>
      </c>
      <c r="F11" s="10">
        <f>$C$11*F10</f>
        <v>0</v>
      </c>
      <c r="G11" s="10">
        <f>G10*$C$11</f>
        <v>0</v>
      </c>
      <c r="H11" s="10">
        <f>$C$11*H10</f>
        <v>0</v>
      </c>
      <c r="I11" s="10">
        <f>$C$11*I10</f>
        <v>0</v>
      </c>
      <c r="J11" s="10">
        <f>$C$11*J10</f>
        <v>0</v>
      </c>
      <c r="K11" s="10">
        <f t="shared" ref="K11:L11" si="1">$C$11*K10</f>
        <v>0</v>
      </c>
      <c r="L11" s="10">
        <f t="shared" si="1"/>
        <v>0</v>
      </c>
      <c r="M11" s="44"/>
      <c r="N11" s="10">
        <f>$C$11*N10</f>
        <v>0</v>
      </c>
      <c r="O11" s="10">
        <f>$C$11*O10</f>
        <v>0</v>
      </c>
      <c r="P11" s="10">
        <f>$C$11*P10</f>
        <v>0</v>
      </c>
      <c r="Q11" s="10">
        <f>$C$11*Q10</f>
        <v>0</v>
      </c>
    </row>
    <row r="12" spans="1:17" ht="40.15" customHeight="1">
      <c r="A12" s="20">
        <v>3</v>
      </c>
      <c r="B12" s="7" t="s">
        <v>80</v>
      </c>
      <c r="C12" s="8" t="s">
        <v>26</v>
      </c>
      <c r="D12" s="11">
        <v>216.3</v>
      </c>
      <c r="E12" s="11">
        <v>1059.3</v>
      </c>
      <c r="F12" s="11">
        <v>1208.7</v>
      </c>
      <c r="G12" s="11">
        <v>1272.3399999999999</v>
      </c>
      <c r="H12" s="10">
        <v>1216.25</v>
      </c>
      <c r="I12" s="10">
        <v>3236.26</v>
      </c>
      <c r="J12" s="11">
        <v>3303.6</v>
      </c>
      <c r="K12" s="11">
        <v>444.58</v>
      </c>
      <c r="L12" s="11">
        <v>3960.14</v>
      </c>
      <c r="M12" s="12">
        <v>1780.95</v>
      </c>
      <c r="N12" s="12">
        <v>2883.52</v>
      </c>
      <c r="O12" s="12">
        <v>1458.12</v>
      </c>
      <c r="P12" s="12">
        <v>1649.69</v>
      </c>
      <c r="Q12" s="12">
        <v>1821.1</v>
      </c>
    </row>
    <row r="13" spans="1:17" ht="40.15" customHeight="1">
      <c r="A13" s="47" t="s">
        <v>44</v>
      </c>
      <c r="B13" s="47"/>
      <c r="C13" s="22">
        <v>0</v>
      </c>
      <c r="D13" s="11">
        <f>D12*$C$13</f>
        <v>0</v>
      </c>
      <c r="E13" s="11">
        <f t="shared" ref="E13:Q13" si="2">E12*$C$13</f>
        <v>0</v>
      </c>
      <c r="F13" s="11">
        <f t="shared" si="2"/>
        <v>0</v>
      </c>
      <c r="G13" s="11">
        <f t="shared" si="2"/>
        <v>0</v>
      </c>
      <c r="H13" s="11">
        <f t="shared" si="2"/>
        <v>0</v>
      </c>
      <c r="I13" s="11">
        <f t="shared" si="2"/>
        <v>0</v>
      </c>
      <c r="J13" s="11">
        <f t="shared" si="2"/>
        <v>0</v>
      </c>
      <c r="K13" s="11">
        <f t="shared" si="2"/>
        <v>0</v>
      </c>
      <c r="L13" s="11">
        <f t="shared" si="2"/>
        <v>0</v>
      </c>
      <c r="M13" s="11">
        <f t="shared" si="2"/>
        <v>0</v>
      </c>
      <c r="N13" s="11">
        <f t="shared" si="2"/>
        <v>0</v>
      </c>
      <c r="O13" s="11">
        <f t="shared" si="2"/>
        <v>0</v>
      </c>
      <c r="P13" s="11">
        <f t="shared" si="2"/>
        <v>0</v>
      </c>
      <c r="Q13" s="11">
        <f t="shared" si="2"/>
        <v>0</v>
      </c>
    </row>
    <row r="14" spans="1:17" s="1" customFormat="1" ht="42.75" customHeight="1">
      <c r="A14" s="21">
        <v>4</v>
      </c>
      <c r="B14" s="8" t="s">
        <v>6</v>
      </c>
      <c r="C14" s="8" t="s">
        <v>5</v>
      </c>
      <c r="D14" s="11">
        <f>613.39+462</f>
        <v>1075.3899999999999</v>
      </c>
      <c r="E14" s="11">
        <f>583.19+462</f>
        <v>1045.19</v>
      </c>
      <c r="F14" s="10">
        <f>614+462</f>
        <v>1076</v>
      </c>
      <c r="G14" s="10">
        <f>588.89+462</f>
        <v>1050.8899999999999</v>
      </c>
      <c r="H14" s="10">
        <f>639.73+462</f>
        <v>1101.73</v>
      </c>
      <c r="I14" s="10">
        <f>775.7+462</f>
        <v>1237.7</v>
      </c>
      <c r="J14" s="11">
        <f>791.84+462</f>
        <v>1253.8400000000001</v>
      </c>
      <c r="K14" s="11">
        <v>1142.8600000000001</v>
      </c>
      <c r="L14" s="10">
        <f>1132.79+462</f>
        <v>1594.79</v>
      </c>
      <c r="M14" s="8">
        <v>1415.12</v>
      </c>
      <c r="N14" s="8">
        <f>1048.21+462</f>
        <v>1510.21</v>
      </c>
      <c r="O14" s="8">
        <f>683.88+462</f>
        <v>1145.8800000000001</v>
      </c>
      <c r="P14" s="8">
        <f>915.56+462</f>
        <v>1377.56</v>
      </c>
      <c r="Q14" s="8">
        <f>820.6+462</f>
        <v>1282.5999999999999</v>
      </c>
    </row>
    <row r="15" spans="1:17" s="1" customFormat="1" ht="42.75" customHeight="1">
      <c r="A15" s="47" t="s">
        <v>45</v>
      </c>
      <c r="B15" s="47"/>
      <c r="C15" s="22">
        <v>0</v>
      </c>
      <c r="D15" s="11">
        <f>D14*$C$15</f>
        <v>0</v>
      </c>
      <c r="E15" s="11">
        <f t="shared" ref="E15:Q15" si="3">E14*$C$15</f>
        <v>0</v>
      </c>
      <c r="F15" s="11">
        <f t="shared" si="3"/>
        <v>0</v>
      </c>
      <c r="G15" s="11">
        <f t="shared" si="3"/>
        <v>0</v>
      </c>
      <c r="H15" s="11">
        <f t="shared" si="3"/>
        <v>0</v>
      </c>
      <c r="I15" s="11">
        <f t="shared" si="3"/>
        <v>0</v>
      </c>
      <c r="J15" s="11">
        <f t="shared" si="3"/>
        <v>0</v>
      </c>
      <c r="K15" s="11">
        <f t="shared" si="3"/>
        <v>0</v>
      </c>
      <c r="L15" s="11">
        <f t="shared" si="3"/>
        <v>0</v>
      </c>
      <c r="M15" s="11">
        <f t="shared" si="3"/>
        <v>0</v>
      </c>
      <c r="N15" s="11">
        <f t="shared" si="3"/>
        <v>0</v>
      </c>
      <c r="O15" s="11">
        <f t="shared" si="3"/>
        <v>0</v>
      </c>
      <c r="P15" s="11">
        <f t="shared" si="3"/>
        <v>0</v>
      </c>
      <c r="Q15" s="11">
        <f t="shared" si="3"/>
        <v>0</v>
      </c>
    </row>
    <row r="16" spans="1:17" ht="30.75" customHeight="1">
      <c r="A16" s="20">
        <v>3</v>
      </c>
      <c r="B16" s="7" t="s">
        <v>28</v>
      </c>
      <c r="C16" s="12" t="s">
        <v>7</v>
      </c>
      <c r="D16" s="12">
        <f>2847.18+4980</f>
        <v>7827.18</v>
      </c>
      <c r="E16" s="11">
        <f>2802.35+4980</f>
        <v>7782.35</v>
      </c>
      <c r="F16" s="11">
        <f>2800.01+4980</f>
        <v>7780.01</v>
      </c>
      <c r="G16" s="11">
        <f>2773.84+4980</f>
        <v>7753.84</v>
      </c>
      <c r="H16" s="8">
        <f>2794.93+4980</f>
        <v>7774.93</v>
      </c>
      <c r="I16" s="11">
        <f>2979.82+4980</f>
        <v>7959.82</v>
      </c>
      <c r="J16" s="12">
        <f>3045.77+4980</f>
        <v>8025.77</v>
      </c>
      <c r="K16" s="11">
        <v>10751.35</v>
      </c>
      <c r="L16" s="11">
        <f>3584.22+4980</f>
        <v>8564.2199999999993</v>
      </c>
      <c r="M16" s="11">
        <v>11057.54</v>
      </c>
      <c r="N16" s="11">
        <f>3530.1+4980</f>
        <v>8510.1</v>
      </c>
      <c r="O16" s="12">
        <f>3046.1+4980</f>
        <v>8026.1</v>
      </c>
      <c r="P16" s="11">
        <f>3560.59+4980</f>
        <v>8540.59</v>
      </c>
      <c r="Q16" s="11">
        <f>3182.58+4980</f>
        <v>8162.58</v>
      </c>
    </row>
    <row r="17" spans="1:17" ht="30.75" customHeight="1">
      <c r="A17" s="61" t="s">
        <v>49</v>
      </c>
      <c r="B17" s="61"/>
      <c r="C17" s="22">
        <v>0</v>
      </c>
      <c r="D17" s="12">
        <f>D16*$C$17</f>
        <v>0</v>
      </c>
      <c r="E17" s="12">
        <f t="shared" ref="E17:Q17" si="4">E16*$C$17</f>
        <v>0</v>
      </c>
      <c r="F17" s="12">
        <f t="shared" si="4"/>
        <v>0</v>
      </c>
      <c r="G17" s="12">
        <f t="shared" si="4"/>
        <v>0</v>
      </c>
      <c r="H17" s="12">
        <f t="shared" si="4"/>
        <v>0</v>
      </c>
      <c r="I17" s="12">
        <f t="shared" si="4"/>
        <v>0</v>
      </c>
      <c r="J17" s="12">
        <f t="shared" si="4"/>
        <v>0</v>
      </c>
      <c r="K17" s="12">
        <f t="shared" si="4"/>
        <v>0</v>
      </c>
      <c r="L17" s="12">
        <f t="shared" si="4"/>
        <v>0</v>
      </c>
      <c r="M17" s="12">
        <f t="shared" si="4"/>
        <v>0</v>
      </c>
      <c r="N17" s="12">
        <f t="shared" si="4"/>
        <v>0</v>
      </c>
      <c r="O17" s="12">
        <f t="shared" si="4"/>
        <v>0</v>
      </c>
      <c r="P17" s="12">
        <f t="shared" si="4"/>
        <v>0</v>
      </c>
      <c r="Q17" s="12">
        <f t="shared" si="4"/>
        <v>0</v>
      </c>
    </row>
    <row r="18" spans="1:17" ht="25.9" customHeight="1">
      <c r="A18" s="20">
        <v>4</v>
      </c>
      <c r="B18" s="7" t="s">
        <v>27</v>
      </c>
      <c r="C18" s="12" t="s">
        <v>7</v>
      </c>
      <c r="D18" s="10">
        <f>2847.18+3340</f>
        <v>6187.18</v>
      </c>
      <c r="E18" s="10">
        <f>2802.35+3340</f>
        <v>6142.35</v>
      </c>
      <c r="F18" s="10">
        <f>2800.01+3340</f>
        <v>6140.01</v>
      </c>
      <c r="G18" s="10">
        <f>2773.84+3340</f>
        <v>6113.84</v>
      </c>
      <c r="H18" s="10">
        <f>2794.93+3340</f>
        <v>6134.93</v>
      </c>
      <c r="I18" s="11">
        <f>2979.82+3340</f>
        <v>6319.82</v>
      </c>
      <c r="J18" s="10">
        <f>3045.77+3340</f>
        <v>6385.77</v>
      </c>
      <c r="K18" s="10">
        <v>6501.35</v>
      </c>
      <c r="L18" s="10">
        <f>3584.32+3340</f>
        <v>6924.32</v>
      </c>
      <c r="M18" s="10">
        <v>6807.54</v>
      </c>
      <c r="N18" s="10">
        <f>3530.1+3430</f>
        <v>6960.1</v>
      </c>
      <c r="O18" s="10">
        <f>3046.1+3340</f>
        <v>6386.1</v>
      </c>
      <c r="P18" s="10">
        <f>3560.59+3340</f>
        <v>6900.59</v>
      </c>
      <c r="Q18" s="10">
        <f>3182.58+3340</f>
        <v>6522.58</v>
      </c>
    </row>
    <row r="19" spans="1:17" ht="25.9" customHeight="1">
      <c r="A19" s="61" t="s">
        <v>49</v>
      </c>
      <c r="B19" s="61"/>
      <c r="C19" s="22">
        <v>0</v>
      </c>
      <c r="D19" s="10">
        <f>D18*$C$19</f>
        <v>0</v>
      </c>
      <c r="E19" s="10">
        <f t="shared" ref="E19:Q19" si="5">E18*$C$19</f>
        <v>0</v>
      </c>
      <c r="F19" s="10">
        <f t="shared" si="5"/>
        <v>0</v>
      </c>
      <c r="G19" s="10">
        <f t="shared" si="5"/>
        <v>0</v>
      </c>
      <c r="H19" s="10">
        <f t="shared" si="5"/>
        <v>0</v>
      </c>
      <c r="I19" s="10">
        <f t="shared" si="5"/>
        <v>0</v>
      </c>
      <c r="J19" s="10">
        <f t="shared" si="5"/>
        <v>0</v>
      </c>
      <c r="K19" s="10">
        <f t="shared" si="5"/>
        <v>0</v>
      </c>
      <c r="L19" s="10">
        <f t="shared" si="5"/>
        <v>0</v>
      </c>
      <c r="M19" s="10">
        <f t="shared" si="5"/>
        <v>0</v>
      </c>
      <c r="N19" s="10">
        <f t="shared" si="5"/>
        <v>0</v>
      </c>
      <c r="O19" s="10">
        <f t="shared" si="5"/>
        <v>0</v>
      </c>
      <c r="P19" s="10">
        <f t="shared" si="5"/>
        <v>0</v>
      </c>
      <c r="Q19" s="10">
        <f t="shared" si="5"/>
        <v>0</v>
      </c>
    </row>
    <row r="20" spans="1:17" ht="44.25" customHeight="1">
      <c r="A20" s="20">
        <v>5</v>
      </c>
      <c r="B20" s="7" t="s">
        <v>29</v>
      </c>
      <c r="C20" s="12" t="s">
        <v>7</v>
      </c>
      <c r="D20" s="10">
        <v>5458.48</v>
      </c>
      <c r="E20" s="10">
        <v>5452.49</v>
      </c>
      <c r="F20" s="10">
        <v>5433.05</v>
      </c>
      <c r="G20" s="10">
        <v>5419.21</v>
      </c>
      <c r="H20" s="10">
        <f>5422.69</f>
        <v>5422.69</v>
      </c>
      <c r="I20" s="11">
        <v>5261.06</v>
      </c>
      <c r="J20" s="10">
        <v>5530.49</v>
      </c>
      <c r="K20" s="10">
        <v>5037.74</v>
      </c>
      <c r="L20" s="10">
        <v>5691.82</v>
      </c>
      <c r="M20" s="10">
        <v>5124.75</v>
      </c>
      <c r="N20" s="10">
        <v>5680.81</v>
      </c>
      <c r="O20" s="10">
        <v>5546.8</v>
      </c>
      <c r="P20" s="10">
        <v>5729.45</v>
      </c>
      <c r="Q20" s="10">
        <v>5570.74</v>
      </c>
    </row>
    <row r="21" spans="1:17" ht="44.25" customHeight="1">
      <c r="A21" s="61" t="s">
        <v>49</v>
      </c>
      <c r="B21" s="61"/>
      <c r="C21" s="22">
        <v>0</v>
      </c>
      <c r="D21" s="10">
        <f>D20*$C$21</f>
        <v>0</v>
      </c>
      <c r="E21" s="10">
        <f t="shared" ref="E21:Q21" si="6">E20*$C$21</f>
        <v>0</v>
      </c>
      <c r="F21" s="10">
        <f t="shared" si="6"/>
        <v>0</v>
      </c>
      <c r="G21" s="10">
        <f t="shared" si="6"/>
        <v>0</v>
      </c>
      <c r="H21" s="10">
        <f t="shared" si="6"/>
        <v>0</v>
      </c>
      <c r="I21" s="10">
        <f t="shared" si="6"/>
        <v>0</v>
      </c>
      <c r="J21" s="10">
        <f t="shared" si="6"/>
        <v>0</v>
      </c>
      <c r="K21" s="10">
        <f t="shared" si="6"/>
        <v>0</v>
      </c>
      <c r="L21" s="10">
        <f t="shared" si="6"/>
        <v>0</v>
      </c>
      <c r="M21" s="10">
        <f t="shared" si="6"/>
        <v>0</v>
      </c>
      <c r="N21" s="10">
        <f t="shared" si="6"/>
        <v>0</v>
      </c>
      <c r="O21" s="10">
        <f t="shared" si="6"/>
        <v>0</v>
      </c>
      <c r="P21" s="10">
        <f t="shared" si="6"/>
        <v>0</v>
      </c>
      <c r="Q21" s="10">
        <f t="shared" si="6"/>
        <v>0</v>
      </c>
    </row>
    <row r="22" spans="1:17" ht="44.25" customHeight="1">
      <c r="A22" s="20">
        <v>6</v>
      </c>
      <c r="B22" s="7" t="s">
        <v>30</v>
      </c>
      <c r="C22" s="12" t="s">
        <v>5</v>
      </c>
      <c r="D22" s="10">
        <v>371.22</v>
      </c>
      <c r="E22" s="10">
        <v>368.02</v>
      </c>
      <c r="F22" s="10">
        <v>377.69</v>
      </c>
      <c r="G22" s="10">
        <v>378.01</v>
      </c>
      <c r="H22" s="10">
        <v>384.43</v>
      </c>
      <c r="I22" s="11">
        <v>534.48</v>
      </c>
      <c r="J22" s="10">
        <v>545.70000000000005</v>
      </c>
      <c r="K22" s="10">
        <v>530.42000000000007</v>
      </c>
      <c r="L22" s="10">
        <v>649.14</v>
      </c>
      <c r="M22" s="10">
        <v>599.45000000000005</v>
      </c>
      <c r="N22" s="10">
        <v>524.38</v>
      </c>
      <c r="O22" s="10">
        <v>427.74</v>
      </c>
      <c r="P22" s="10">
        <v>483.25</v>
      </c>
      <c r="Q22" s="10">
        <v>463.73</v>
      </c>
    </row>
    <row r="23" spans="1:17" ht="44.25" customHeight="1">
      <c r="A23" s="61" t="s">
        <v>46</v>
      </c>
      <c r="B23" s="61"/>
      <c r="C23" s="22">
        <v>0</v>
      </c>
      <c r="D23" s="10">
        <f>D22*$C$23</f>
        <v>0</v>
      </c>
      <c r="E23" s="10">
        <f t="shared" ref="E23:Q23" si="7">E22*$C$23</f>
        <v>0</v>
      </c>
      <c r="F23" s="10">
        <f t="shared" si="7"/>
        <v>0</v>
      </c>
      <c r="G23" s="10">
        <f t="shared" si="7"/>
        <v>0</v>
      </c>
      <c r="H23" s="10">
        <f t="shared" si="7"/>
        <v>0</v>
      </c>
      <c r="I23" s="10">
        <f t="shared" si="7"/>
        <v>0</v>
      </c>
      <c r="J23" s="10">
        <f t="shared" si="7"/>
        <v>0</v>
      </c>
      <c r="K23" s="10">
        <f t="shared" si="7"/>
        <v>0</v>
      </c>
      <c r="L23" s="10">
        <f t="shared" si="7"/>
        <v>0</v>
      </c>
      <c r="M23" s="10">
        <f t="shared" si="7"/>
        <v>0</v>
      </c>
      <c r="N23" s="10">
        <f t="shared" si="7"/>
        <v>0</v>
      </c>
      <c r="O23" s="10">
        <f t="shared" si="7"/>
        <v>0</v>
      </c>
      <c r="P23" s="10">
        <f t="shared" si="7"/>
        <v>0</v>
      </c>
      <c r="Q23" s="10">
        <f t="shared" si="7"/>
        <v>0</v>
      </c>
    </row>
    <row r="24" spans="1:17" ht="24" customHeight="1">
      <c r="A24" s="20">
        <v>7</v>
      </c>
      <c r="B24" s="9" t="s">
        <v>39</v>
      </c>
      <c r="C24" s="12" t="s">
        <v>40</v>
      </c>
      <c r="D24" s="10">
        <v>222.46</v>
      </c>
      <c r="E24" s="11">
        <v>218.75</v>
      </c>
      <c r="F24" s="11">
        <v>229.16</v>
      </c>
      <c r="G24" s="11">
        <v>228.94</v>
      </c>
      <c r="H24" s="11">
        <v>224.77</v>
      </c>
      <c r="I24" s="11">
        <v>363.19</v>
      </c>
      <c r="J24" s="11">
        <v>370.6</v>
      </c>
      <c r="K24" s="11"/>
      <c r="L24" s="11">
        <v>436.8</v>
      </c>
      <c r="M24" s="11"/>
      <c r="N24" s="11">
        <v>341.89</v>
      </c>
      <c r="O24" s="11">
        <v>251.86</v>
      </c>
      <c r="P24" s="11">
        <v>287.72000000000003</v>
      </c>
      <c r="Q24" s="11">
        <v>287.04000000000002</v>
      </c>
    </row>
    <row r="25" spans="1:17" ht="33.6" hidden="1" customHeight="1">
      <c r="A25" s="19"/>
      <c r="B25" s="65" t="s">
        <v>9</v>
      </c>
      <c r="C25" s="65"/>
      <c r="D25" s="65"/>
      <c r="E25" s="35"/>
      <c r="F25" s="36"/>
      <c r="G25" s="36"/>
      <c r="H25" s="37"/>
      <c r="I25" s="37"/>
      <c r="J25" s="37"/>
      <c r="K25" s="34"/>
      <c r="L25" s="38"/>
      <c r="M25" s="19"/>
      <c r="N25" s="36"/>
      <c r="O25" s="36"/>
      <c r="P25" s="36"/>
      <c r="Q25" s="36"/>
    </row>
    <row r="26" spans="1:17" ht="45" hidden="1">
      <c r="A26" s="19"/>
      <c r="B26" s="3" t="s">
        <v>8</v>
      </c>
      <c r="C26" s="5" t="s">
        <v>10</v>
      </c>
      <c r="D26" s="5" t="s">
        <v>11</v>
      </c>
      <c r="E26" s="36"/>
      <c r="F26" s="36"/>
      <c r="G26" s="36"/>
      <c r="H26" s="38"/>
      <c r="I26" s="39"/>
      <c r="J26" s="39"/>
      <c r="K26" s="34"/>
      <c r="L26" s="36"/>
      <c r="M26" s="19"/>
      <c r="N26" s="36"/>
      <c r="O26" s="36"/>
      <c r="P26" s="36"/>
      <c r="Q26" s="36"/>
    </row>
    <row r="27" spans="1:17" ht="30" hidden="1">
      <c r="A27" s="19"/>
      <c r="B27" s="2" t="s">
        <v>0</v>
      </c>
      <c r="C27" s="4" t="e">
        <f>#REF!/#REF!</f>
        <v>#REF!</v>
      </c>
      <c r="D27" s="4" t="e">
        <f>#REF!/#REF!</f>
        <v>#REF!</v>
      </c>
      <c r="E27" s="36"/>
      <c r="F27" s="36"/>
      <c r="G27" s="36"/>
      <c r="H27" s="35"/>
      <c r="I27" s="40"/>
      <c r="J27" s="40"/>
      <c r="K27" s="34"/>
      <c r="L27" s="36"/>
      <c r="M27" s="19"/>
      <c r="N27" s="36"/>
      <c r="O27" s="36"/>
      <c r="P27" s="36"/>
      <c r="Q27" s="36"/>
    </row>
    <row r="28" spans="1:17" ht="30" hidden="1">
      <c r="A28" s="19"/>
      <c r="B28" s="2" t="s">
        <v>3</v>
      </c>
      <c r="C28" s="4" t="e">
        <f>#REF!/#REF!</f>
        <v>#REF!</v>
      </c>
      <c r="D28" s="4" t="e">
        <f>#REF!/#REF!</f>
        <v>#REF!</v>
      </c>
      <c r="E28" s="36"/>
      <c r="F28" s="36"/>
      <c r="G28" s="36"/>
      <c r="H28" s="35"/>
      <c r="I28" s="40"/>
      <c r="J28" s="40"/>
      <c r="K28" s="34"/>
      <c r="L28" s="36"/>
      <c r="M28" s="19"/>
      <c r="N28" s="36"/>
      <c r="O28" s="36"/>
      <c r="P28" s="36"/>
      <c r="Q28" s="36"/>
    </row>
    <row r="29" spans="1:17" ht="45" hidden="1" customHeight="1">
      <c r="A29" s="19"/>
      <c r="B29" s="2" t="s">
        <v>4</v>
      </c>
      <c r="C29" s="4" t="e">
        <f>#REF!/#REF!</f>
        <v>#REF!</v>
      </c>
      <c r="D29" s="4" t="e">
        <f>#REF!/#REF!</f>
        <v>#REF!</v>
      </c>
      <c r="E29" s="36"/>
      <c r="F29" s="36"/>
      <c r="G29" s="36"/>
      <c r="H29" s="35"/>
      <c r="I29" s="40"/>
      <c r="J29" s="40"/>
      <c r="K29" s="34"/>
      <c r="L29" s="36"/>
      <c r="M29" s="19"/>
      <c r="N29" s="36"/>
      <c r="O29" s="36"/>
      <c r="P29" s="36"/>
      <c r="Q29" s="36"/>
    </row>
    <row r="30" spans="1:17" ht="45" customHeight="1">
      <c r="A30" s="61" t="s">
        <v>47</v>
      </c>
      <c r="B30" s="61"/>
      <c r="C30" s="22">
        <v>0</v>
      </c>
      <c r="D30" s="41">
        <f>D24*$C$30</f>
        <v>0</v>
      </c>
      <c r="E30" s="41">
        <f t="shared" ref="E30:Q30" si="8">E24*$C$30</f>
        <v>0</v>
      </c>
      <c r="F30" s="41">
        <f t="shared" si="8"/>
        <v>0</v>
      </c>
      <c r="G30" s="41">
        <f t="shared" si="8"/>
        <v>0</v>
      </c>
      <c r="H30" s="41">
        <f t="shared" si="8"/>
        <v>0</v>
      </c>
      <c r="I30" s="41">
        <f t="shared" si="8"/>
        <v>0</v>
      </c>
      <c r="J30" s="41">
        <f t="shared" si="8"/>
        <v>0</v>
      </c>
      <c r="K30" s="41">
        <f t="shared" si="8"/>
        <v>0</v>
      </c>
      <c r="L30" s="41">
        <f t="shared" si="8"/>
        <v>0</v>
      </c>
      <c r="M30" s="41">
        <f t="shared" si="8"/>
        <v>0</v>
      </c>
      <c r="N30" s="41">
        <f t="shared" si="8"/>
        <v>0</v>
      </c>
      <c r="O30" s="41">
        <f t="shared" si="8"/>
        <v>0</v>
      </c>
      <c r="P30" s="41">
        <f t="shared" si="8"/>
        <v>0</v>
      </c>
      <c r="Q30" s="41">
        <f t="shared" si="8"/>
        <v>0</v>
      </c>
    </row>
    <row r="31" spans="1:17" ht="45" customHeight="1">
      <c r="A31" s="61" t="s">
        <v>52</v>
      </c>
      <c r="B31" s="61"/>
      <c r="C31" s="61"/>
      <c r="D31" s="41">
        <f>D9+D11+D13+D15+D17+D19+D21+D23+D30</f>
        <v>0</v>
      </c>
      <c r="E31" s="41">
        <f t="shared" ref="E31:Q31" si="9">E9+E11+E13+E15+E17+E19+E21+E23+E30</f>
        <v>0</v>
      </c>
      <c r="F31" s="41">
        <f t="shared" si="9"/>
        <v>0</v>
      </c>
      <c r="G31" s="41">
        <f t="shared" si="9"/>
        <v>0</v>
      </c>
      <c r="H31" s="41">
        <f t="shared" si="9"/>
        <v>0</v>
      </c>
      <c r="I31" s="41">
        <f t="shared" si="9"/>
        <v>0</v>
      </c>
      <c r="J31" s="41">
        <f t="shared" si="9"/>
        <v>0</v>
      </c>
      <c r="K31" s="41">
        <f t="shared" si="9"/>
        <v>0</v>
      </c>
      <c r="L31" s="41">
        <f t="shared" si="9"/>
        <v>0</v>
      </c>
      <c r="M31" s="41">
        <f t="shared" si="9"/>
        <v>0</v>
      </c>
      <c r="N31" s="41">
        <f t="shared" si="9"/>
        <v>0</v>
      </c>
      <c r="O31" s="41">
        <f t="shared" si="9"/>
        <v>0</v>
      </c>
      <c r="P31" s="41">
        <f t="shared" si="9"/>
        <v>0</v>
      </c>
      <c r="Q31" s="41">
        <f t="shared" si="9"/>
        <v>0</v>
      </c>
    </row>
    <row r="32" spans="1:17" ht="28.5" customHeight="1">
      <c r="A32" s="63" t="s">
        <v>32</v>
      </c>
      <c r="B32" s="63"/>
      <c r="C32" s="63"/>
      <c r="D32" s="63"/>
      <c r="E32" s="63"/>
      <c r="F32" s="63"/>
      <c r="G32" s="63"/>
      <c r="H32" s="63"/>
      <c r="I32" s="63"/>
      <c r="J32" s="63"/>
      <c r="K32" s="63"/>
      <c r="L32" s="63"/>
      <c r="M32" s="63"/>
      <c r="N32" s="63"/>
      <c r="O32" s="63"/>
      <c r="P32" s="63"/>
      <c r="Q32" s="63"/>
    </row>
    <row r="33" spans="1:17" s="6" customFormat="1" ht="108" customHeight="1">
      <c r="A33" s="20">
        <v>8</v>
      </c>
      <c r="B33" s="7" t="s">
        <v>81</v>
      </c>
      <c r="C33" s="8" t="s">
        <v>26</v>
      </c>
      <c r="D33" s="11">
        <v>624.72</v>
      </c>
      <c r="E33" s="11">
        <v>672.98</v>
      </c>
      <c r="F33" s="11">
        <v>693.17</v>
      </c>
      <c r="G33" s="11">
        <v>746.03</v>
      </c>
      <c r="H33" s="11">
        <v>629.9</v>
      </c>
      <c r="I33" s="11">
        <v>932.5</v>
      </c>
      <c r="J33" s="11">
        <v>951.89</v>
      </c>
      <c r="K33" s="11"/>
      <c r="L33" s="11">
        <v>3228.41</v>
      </c>
      <c r="M33" s="11"/>
      <c r="N33" s="11">
        <v>1675.91</v>
      </c>
      <c r="O33" s="11">
        <v>847.46</v>
      </c>
      <c r="P33" s="11">
        <v>646.29999999999995</v>
      </c>
      <c r="Q33" s="11">
        <v>777.17</v>
      </c>
    </row>
    <row r="34" spans="1:17" s="6" customFormat="1" ht="29.25" customHeight="1">
      <c r="A34" s="61" t="s">
        <v>48</v>
      </c>
      <c r="B34" s="61"/>
      <c r="C34" s="22">
        <v>0</v>
      </c>
      <c r="D34" s="11">
        <f>D33*$C$34</f>
        <v>0</v>
      </c>
      <c r="E34" s="11">
        <f t="shared" ref="E34:Q34" si="10">E33*$C$34</f>
        <v>0</v>
      </c>
      <c r="F34" s="11">
        <f t="shared" si="10"/>
        <v>0</v>
      </c>
      <c r="G34" s="11">
        <f t="shared" si="10"/>
        <v>0</v>
      </c>
      <c r="H34" s="11">
        <f t="shared" si="10"/>
        <v>0</v>
      </c>
      <c r="I34" s="11">
        <f t="shared" si="10"/>
        <v>0</v>
      </c>
      <c r="J34" s="11">
        <f t="shared" si="10"/>
        <v>0</v>
      </c>
      <c r="K34" s="11">
        <f t="shared" si="10"/>
        <v>0</v>
      </c>
      <c r="L34" s="11">
        <f t="shared" si="10"/>
        <v>0</v>
      </c>
      <c r="M34" s="11">
        <f t="shared" si="10"/>
        <v>0</v>
      </c>
      <c r="N34" s="11">
        <f t="shared" si="10"/>
        <v>0</v>
      </c>
      <c r="O34" s="11">
        <f t="shared" si="10"/>
        <v>0</v>
      </c>
      <c r="P34" s="11">
        <f t="shared" si="10"/>
        <v>0</v>
      </c>
      <c r="Q34" s="11">
        <f t="shared" si="10"/>
        <v>0</v>
      </c>
    </row>
    <row r="35" spans="1:17" s="6" customFormat="1" ht="45.75" customHeight="1">
      <c r="A35" s="20">
        <v>9</v>
      </c>
      <c r="B35" s="7" t="s">
        <v>33</v>
      </c>
      <c r="C35" s="9" t="s">
        <v>7</v>
      </c>
      <c r="D35" s="11">
        <f>24630+9260.03</f>
        <v>33890.03</v>
      </c>
      <c r="E35" s="11">
        <f>24630+9062.99</f>
        <v>33692.99</v>
      </c>
      <c r="F35" s="11">
        <f>24630+9182.6</f>
        <v>33812.6</v>
      </c>
      <c r="G35" s="11">
        <f>24630+9064.78</f>
        <v>33694.78</v>
      </c>
      <c r="H35" s="11">
        <f>24630+9246.31</f>
        <v>33876.31</v>
      </c>
      <c r="I35" s="11">
        <f>10245.48+24630</f>
        <v>34875.479999999996</v>
      </c>
      <c r="J35" s="11">
        <f>10470.98+24630</f>
        <v>35100.979999999996</v>
      </c>
      <c r="K35" s="11"/>
      <c r="L35" s="11">
        <f>12896.3+24630</f>
        <v>37526.300000000003</v>
      </c>
      <c r="M35" s="11"/>
      <c r="N35" s="11">
        <f>12529.86+24630</f>
        <v>37159.86</v>
      </c>
      <c r="O35" s="11">
        <f>10228.73+24630</f>
        <v>34858.729999999996</v>
      </c>
      <c r="P35" s="11">
        <f>24630+11696.38</f>
        <v>36326.379999999997</v>
      </c>
      <c r="Q35" s="11">
        <f>11006.27+24630</f>
        <v>35636.270000000004</v>
      </c>
    </row>
    <row r="36" spans="1:17" s="6" customFormat="1" ht="45.75" customHeight="1">
      <c r="A36" s="61" t="s">
        <v>49</v>
      </c>
      <c r="B36" s="61"/>
      <c r="C36" s="22">
        <v>0</v>
      </c>
      <c r="D36" s="11">
        <f>D35*$C$36</f>
        <v>0</v>
      </c>
      <c r="E36" s="11">
        <f t="shared" ref="E36:Q36" si="11">E35*$C$36</f>
        <v>0</v>
      </c>
      <c r="F36" s="11">
        <f t="shared" si="11"/>
        <v>0</v>
      </c>
      <c r="G36" s="11">
        <f t="shared" si="11"/>
        <v>0</v>
      </c>
      <c r="H36" s="11">
        <f t="shared" si="11"/>
        <v>0</v>
      </c>
      <c r="I36" s="11">
        <f t="shared" si="11"/>
        <v>0</v>
      </c>
      <c r="J36" s="11">
        <f t="shared" si="11"/>
        <v>0</v>
      </c>
      <c r="K36" s="11">
        <f t="shared" si="11"/>
        <v>0</v>
      </c>
      <c r="L36" s="11">
        <f t="shared" si="11"/>
        <v>0</v>
      </c>
      <c r="M36" s="11">
        <f t="shared" si="11"/>
        <v>0</v>
      </c>
      <c r="N36" s="11">
        <f t="shared" si="11"/>
        <v>0</v>
      </c>
      <c r="O36" s="11">
        <f t="shared" si="11"/>
        <v>0</v>
      </c>
      <c r="P36" s="11">
        <f t="shared" si="11"/>
        <v>0</v>
      </c>
      <c r="Q36" s="11">
        <f t="shared" si="11"/>
        <v>0</v>
      </c>
    </row>
    <row r="37" spans="1:17" s="6" customFormat="1" ht="37.5">
      <c r="A37" s="20">
        <v>10</v>
      </c>
      <c r="B37" s="7" t="s">
        <v>34</v>
      </c>
      <c r="C37" s="9" t="s">
        <v>7</v>
      </c>
      <c r="D37" s="11">
        <f>11900+9260.03</f>
        <v>21160.03</v>
      </c>
      <c r="E37" s="11">
        <f>11900+9062.99</f>
        <v>20962.989999999998</v>
      </c>
      <c r="F37" s="11">
        <f>11900+9182.6</f>
        <v>21082.6</v>
      </c>
      <c r="G37" s="11">
        <f>11900+9064.78</f>
        <v>20964.78</v>
      </c>
      <c r="H37" s="11">
        <f>11900+9246.31</f>
        <v>21146.309999999998</v>
      </c>
      <c r="I37" s="11">
        <f>10245.48+11900</f>
        <v>22145.48</v>
      </c>
      <c r="J37" s="11">
        <f>11900+10470.98</f>
        <v>22370.98</v>
      </c>
      <c r="K37" s="11"/>
      <c r="L37" s="11">
        <f>11900+12896.3</f>
        <v>24796.3</v>
      </c>
      <c r="M37" s="11"/>
      <c r="N37" s="11">
        <f>12529.86+11900</f>
        <v>24429.86</v>
      </c>
      <c r="O37" s="11">
        <f>10228.73+11900</f>
        <v>22128.73</v>
      </c>
      <c r="P37" s="11">
        <f>11900+11696.38</f>
        <v>23596.379999999997</v>
      </c>
      <c r="Q37" s="11">
        <f>11900+11006.27</f>
        <v>22906.27</v>
      </c>
    </row>
    <row r="38" spans="1:17" s="6" customFormat="1" ht="36.75" customHeight="1">
      <c r="A38" s="61" t="s">
        <v>49</v>
      </c>
      <c r="B38" s="61"/>
      <c r="C38" s="22">
        <v>0</v>
      </c>
      <c r="D38" s="11">
        <f>D37*$C$38</f>
        <v>0</v>
      </c>
      <c r="E38" s="11">
        <f t="shared" ref="E38:Q38" si="12">E37*$C$38</f>
        <v>0</v>
      </c>
      <c r="F38" s="11">
        <f t="shared" si="12"/>
        <v>0</v>
      </c>
      <c r="G38" s="11">
        <f t="shared" si="12"/>
        <v>0</v>
      </c>
      <c r="H38" s="11">
        <f t="shared" si="12"/>
        <v>0</v>
      </c>
      <c r="I38" s="11">
        <f t="shared" si="12"/>
        <v>0</v>
      </c>
      <c r="J38" s="11">
        <f t="shared" si="12"/>
        <v>0</v>
      </c>
      <c r="K38" s="11">
        <f t="shared" si="12"/>
        <v>0</v>
      </c>
      <c r="L38" s="11">
        <f t="shared" si="12"/>
        <v>0</v>
      </c>
      <c r="M38" s="11">
        <f t="shared" si="12"/>
        <v>0</v>
      </c>
      <c r="N38" s="11">
        <f t="shared" si="12"/>
        <v>0</v>
      </c>
      <c r="O38" s="11">
        <f t="shared" si="12"/>
        <v>0</v>
      </c>
      <c r="P38" s="11">
        <f t="shared" si="12"/>
        <v>0</v>
      </c>
      <c r="Q38" s="11">
        <f t="shared" si="12"/>
        <v>0</v>
      </c>
    </row>
    <row r="39" spans="1:17" s="6" customFormat="1" ht="28.5" customHeight="1">
      <c r="A39" s="20">
        <v>11</v>
      </c>
      <c r="B39" s="7" t="s">
        <v>35</v>
      </c>
      <c r="C39" s="9" t="s">
        <v>7</v>
      </c>
      <c r="D39" s="11">
        <f>33740+9260.03</f>
        <v>43000.03</v>
      </c>
      <c r="E39" s="11">
        <f>33740+9062.99</f>
        <v>42802.99</v>
      </c>
      <c r="F39" s="11">
        <f>9182.6+33740</f>
        <v>42922.6</v>
      </c>
      <c r="G39" s="11">
        <f>33740+9064.78</f>
        <v>42804.78</v>
      </c>
      <c r="H39" s="11">
        <f>33740+9246.31</f>
        <v>42986.31</v>
      </c>
      <c r="I39" s="11">
        <f>33740+10245.48</f>
        <v>43985.479999999996</v>
      </c>
      <c r="J39" s="11">
        <f>33740+10470.98</f>
        <v>44210.979999999996</v>
      </c>
      <c r="K39" s="11"/>
      <c r="L39" s="11">
        <f>33740+12896.3</f>
        <v>46636.3</v>
      </c>
      <c r="M39" s="11"/>
      <c r="N39" s="11">
        <f>12529.86+33740</f>
        <v>46269.86</v>
      </c>
      <c r="O39" s="11">
        <f>10228.73+33740</f>
        <v>43968.729999999996</v>
      </c>
      <c r="P39" s="11">
        <f>33740+11696.38</f>
        <v>45436.38</v>
      </c>
      <c r="Q39" s="11">
        <f>11006.27+33740</f>
        <v>44746.270000000004</v>
      </c>
    </row>
    <row r="40" spans="1:17" s="6" customFormat="1" ht="31.5" customHeight="1">
      <c r="A40" s="61" t="s">
        <v>49</v>
      </c>
      <c r="B40" s="61"/>
      <c r="C40" s="22">
        <v>0</v>
      </c>
      <c r="D40" s="11">
        <f>D39*$C$40</f>
        <v>0</v>
      </c>
      <c r="E40" s="11">
        <f t="shared" ref="E40:Q40" si="13">E39*$C$40</f>
        <v>0</v>
      </c>
      <c r="F40" s="11">
        <f t="shared" si="13"/>
        <v>0</v>
      </c>
      <c r="G40" s="11">
        <f t="shared" si="13"/>
        <v>0</v>
      </c>
      <c r="H40" s="11">
        <f t="shared" si="13"/>
        <v>0</v>
      </c>
      <c r="I40" s="11">
        <f t="shared" si="13"/>
        <v>0</v>
      </c>
      <c r="J40" s="11">
        <f t="shared" si="13"/>
        <v>0</v>
      </c>
      <c r="K40" s="11">
        <f t="shared" si="13"/>
        <v>0</v>
      </c>
      <c r="L40" s="11">
        <f t="shared" si="13"/>
        <v>0</v>
      </c>
      <c r="M40" s="11">
        <f t="shared" si="13"/>
        <v>0</v>
      </c>
      <c r="N40" s="11">
        <f t="shared" si="13"/>
        <v>0</v>
      </c>
      <c r="O40" s="11">
        <f t="shared" si="13"/>
        <v>0</v>
      </c>
      <c r="P40" s="11">
        <f t="shared" si="13"/>
        <v>0</v>
      </c>
      <c r="Q40" s="11">
        <f t="shared" si="13"/>
        <v>0</v>
      </c>
    </row>
    <row r="41" spans="1:17" s="6" customFormat="1" ht="37.5">
      <c r="A41" s="20">
        <v>12</v>
      </c>
      <c r="B41" s="7" t="s">
        <v>43</v>
      </c>
      <c r="C41" s="9" t="s">
        <v>7</v>
      </c>
      <c r="D41" s="11">
        <f>57410+9260.03</f>
        <v>66670.03</v>
      </c>
      <c r="E41" s="11">
        <f>9062.99+57410</f>
        <v>66472.990000000005</v>
      </c>
      <c r="F41" s="11">
        <f>57410+9182.6</f>
        <v>66592.600000000006</v>
      </c>
      <c r="G41" s="11">
        <f>57410+9064.78</f>
        <v>66474.78</v>
      </c>
      <c r="H41" s="11">
        <f>57410+9246.31</f>
        <v>66656.31</v>
      </c>
      <c r="I41" s="11">
        <f>57410+10245.48</f>
        <v>67655.48</v>
      </c>
      <c r="J41" s="11">
        <f>10470.98+57410</f>
        <v>67880.98</v>
      </c>
      <c r="K41" s="11"/>
      <c r="L41" s="11">
        <f>12896.3+57410</f>
        <v>70306.3</v>
      </c>
      <c r="M41" s="11"/>
      <c r="N41" s="11">
        <f>57410+12529.86</f>
        <v>69939.86</v>
      </c>
      <c r="O41" s="11">
        <f>57410+10228.73</f>
        <v>67638.73</v>
      </c>
      <c r="P41" s="11">
        <f>57410+11696.38</f>
        <v>69106.38</v>
      </c>
      <c r="Q41" s="11">
        <f>57410+11006.53</f>
        <v>68416.53</v>
      </c>
    </row>
    <row r="42" spans="1:17" s="6" customFormat="1" ht="30.75" customHeight="1">
      <c r="A42" s="61" t="s">
        <v>49</v>
      </c>
      <c r="B42" s="61"/>
      <c r="C42" s="22">
        <v>0</v>
      </c>
      <c r="D42" s="11">
        <f>D41*$C$42</f>
        <v>0</v>
      </c>
      <c r="E42" s="11">
        <f t="shared" ref="E42:Q42" si="14">E41*$C$42</f>
        <v>0</v>
      </c>
      <c r="F42" s="11">
        <f t="shared" si="14"/>
        <v>0</v>
      </c>
      <c r="G42" s="11">
        <f t="shared" si="14"/>
        <v>0</v>
      </c>
      <c r="H42" s="11">
        <f t="shared" si="14"/>
        <v>0</v>
      </c>
      <c r="I42" s="11">
        <f t="shared" si="14"/>
        <v>0</v>
      </c>
      <c r="J42" s="11">
        <f t="shared" si="14"/>
        <v>0</v>
      </c>
      <c r="K42" s="11">
        <f t="shared" si="14"/>
        <v>0</v>
      </c>
      <c r="L42" s="11">
        <f t="shared" si="14"/>
        <v>0</v>
      </c>
      <c r="M42" s="11">
        <f t="shared" si="14"/>
        <v>0</v>
      </c>
      <c r="N42" s="11">
        <f t="shared" si="14"/>
        <v>0</v>
      </c>
      <c r="O42" s="11">
        <f t="shared" si="14"/>
        <v>0</v>
      </c>
      <c r="P42" s="11">
        <f t="shared" si="14"/>
        <v>0</v>
      </c>
      <c r="Q42" s="11">
        <f t="shared" si="14"/>
        <v>0</v>
      </c>
    </row>
    <row r="43" spans="1:17" s="6" customFormat="1" ht="37.5">
      <c r="A43" s="20">
        <v>13</v>
      </c>
      <c r="B43" s="7" t="s">
        <v>36</v>
      </c>
      <c r="C43" s="9" t="s">
        <v>7</v>
      </c>
      <c r="D43" s="11">
        <f>173730+15639.28</f>
        <v>189369.28</v>
      </c>
      <c r="E43" s="11">
        <f>15522.95+173730</f>
        <v>189252.95</v>
      </c>
      <c r="F43" s="11">
        <f>173730+15410.06</f>
        <v>189140.06</v>
      </c>
      <c r="G43" s="11">
        <f>173730+15376.61</f>
        <v>189106.61</v>
      </c>
      <c r="H43" s="11">
        <f>173730+15288.17</f>
        <v>189018.17</v>
      </c>
      <c r="I43" s="11">
        <f>16335.49+173730</f>
        <v>190065.49</v>
      </c>
      <c r="J43" s="11">
        <f>173730+16687.72</f>
        <v>190417.72</v>
      </c>
      <c r="K43" s="11"/>
      <c r="L43" s="11">
        <f>173730+18454.64</f>
        <v>192184.64</v>
      </c>
      <c r="M43" s="11"/>
      <c r="N43" s="11">
        <f>173730+18482.52</f>
        <v>192212.52</v>
      </c>
      <c r="O43" s="11">
        <f>173730+16885.99</f>
        <v>190615.99</v>
      </c>
      <c r="P43" s="11">
        <f>173730+19043.41</f>
        <v>192773.41</v>
      </c>
      <c r="Q43" s="11">
        <f>17220.53+173730</f>
        <v>190950.53</v>
      </c>
    </row>
    <row r="44" spans="1:17" s="6" customFormat="1" ht="28.5" customHeight="1">
      <c r="A44" s="61" t="s">
        <v>49</v>
      </c>
      <c r="B44" s="61"/>
      <c r="C44" s="22">
        <v>0</v>
      </c>
      <c r="D44" s="11">
        <f>D43*$C$44</f>
        <v>0</v>
      </c>
      <c r="E44" s="11">
        <f t="shared" ref="E44:Q44" si="15">E43*$C$44</f>
        <v>0</v>
      </c>
      <c r="F44" s="11">
        <f t="shared" si="15"/>
        <v>0</v>
      </c>
      <c r="G44" s="11">
        <f t="shared" si="15"/>
        <v>0</v>
      </c>
      <c r="H44" s="11">
        <f t="shared" si="15"/>
        <v>0</v>
      </c>
      <c r="I44" s="11">
        <f t="shared" si="15"/>
        <v>0</v>
      </c>
      <c r="J44" s="11">
        <f t="shared" si="15"/>
        <v>0</v>
      </c>
      <c r="K44" s="11">
        <f t="shared" si="15"/>
        <v>0</v>
      </c>
      <c r="L44" s="11">
        <f t="shared" si="15"/>
        <v>0</v>
      </c>
      <c r="M44" s="11">
        <f t="shared" si="15"/>
        <v>0</v>
      </c>
      <c r="N44" s="11">
        <f t="shared" si="15"/>
        <v>0</v>
      </c>
      <c r="O44" s="11">
        <f t="shared" si="15"/>
        <v>0</v>
      </c>
      <c r="P44" s="11">
        <f t="shared" si="15"/>
        <v>0</v>
      </c>
      <c r="Q44" s="11">
        <f t="shared" si="15"/>
        <v>0</v>
      </c>
    </row>
    <row r="45" spans="1:17" ht="56.25">
      <c r="A45" s="20">
        <v>14</v>
      </c>
      <c r="B45" s="7" t="s">
        <v>37</v>
      </c>
      <c r="C45" s="9" t="s">
        <v>7</v>
      </c>
      <c r="D45" s="11">
        <f>104110+21725.12</f>
        <v>125835.12</v>
      </c>
      <c r="E45" s="11">
        <f>21560.71+104110</f>
        <v>125670.70999999999</v>
      </c>
      <c r="F45" s="11">
        <f>104110+21375.95</f>
        <v>125485.95</v>
      </c>
      <c r="G45" s="11">
        <f>104110+21326.5</f>
        <v>125436.5</v>
      </c>
      <c r="H45" s="11">
        <f>104110+21198.07</f>
        <v>125308.07</v>
      </c>
      <c r="I45" s="11">
        <f>104110+22485.31</f>
        <v>126595.31</v>
      </c>
      <c r="J45" s="11">
        <f>104110+22965.49</f>
        <v>127075.49</v>
      </c>
      <c r="K45" s="43"/>
      <c r="L45" s="11">
        <f>104110+25404.17</f>
        <v>129514.17</v>
      </c>
      <c r="M45" s="43"/>
      <c r="N45" s="11">
        <f>104110+25479.94</f>
        <v>129589.94</v>
      </c>
      <c r="O45" s="11">
        <f>23339.6+104110</f>
        <v>127449.60000000001</v>
      </c>
      <c r="P45" s="11">
        <f>26296.84+104110</f>
        <v>130406.84</v>
      </c>
      <c r="Q45" s="11">
        <f>23754.2+104110</f>
        <v>127864.2</v>
      </c>
    </row>
    <row r="46" spans="1:17" ht="34.5" customHeight="1">
      <c r="A46" s="61" t="s">
        <v>49</v>
      </c>
      <c r="B46" s="61"/>
      <c r="C46" s="22">
        <v>0</v>
      </c>
      <c r="D46" s="11">
        <f t="shared" ref="D46:Q46" si="16">D45*$C$46</f>
        <v>0</v>
      </c>
      <c r="E46" s="11">
        <f t="shared" si="16"/>
        <v>0</v>
      </c>
      <c r="F46" s="11">
        <f t="shared" si="16"/>
        <v>0</v>
      </c>
      <c r="G46" s="11">
        <f t="shared" si="16"/>
        <v>0</v>
      </c>
      <c r="H46" s="11">
        <f t="shared" si="16"/>
        <v>0</v>
      </c>
      <c r="I46" s="11">
        <f t="shared" si="16"/>
        <v>0</v>
      </c>
      <c r="J46" s="11">
        <f t="shared" si="16"/>
        <v>0</v>
      </c>
      <c r="K46" s="11">
        <f t="shared" si="16"/>
        <v>0</v>
      </c>
      <c r="L46" s="11">
        <f t="shared" si="16"/>
        <v>0</v>
      </c>
      <c r="M46" s="11">
        <f t="shared" si="16"/>
        <v>0</v>
      </c>
      <c r="N46" s="11">
        <f t="shared" si="16"/>
        <v>0</v>
      </c>
      <c r="O46" s="11">
        <f t="shared" si="16"/>
        <v>0</v>
      </c>
      <c r="P46" s="11">
        <f t="shared" si="16"/>
        <v>0</v>
      </c>
      <c r="Q46" s="11">
        <f t="shared" si="16"/>
        <v>0</v>
      </c>
    </row>
    <row r="47" spans="1:17" ht="40.5" customHeight="1">
      <c r="A47" s="20">
        <v>15</v>
      </c>
      <c r="B47" s="17" t="s">
        <v>38</v>
      </c>
      <c r="C47" s="9" t="s">
        <v>7</v>
      </c>
      <c r="D47" s="11">
        <f>96390+21725.12</f>
        <v>118115.12</v>
      </c>
      <c r="E47" s="11">
        <f>21560.71+96390</f>
        <v>117950.70999999999</v>
      </c>
      <c r="F47" s="11">
        <v>117532.35</v>
      </c>
      <c r="G47" s="11">
        <f>96390+21326.5</f>
        <v>117716.5</v>
      </c>
      <c r="H47" s="11">
        <f>96390+21198.07</f>
        <v>117588.07</v>
      </c>
      <c r="I47" s="11">
        <f>96390+22485.31</f>
        <v>118875.31</v>
      </c>
      <c r="J47" s="11">
        <f>96390+22965.49</f>
        <v>119355.49</v>
      </c>
      <c r="K47" s="43"/>
      <c r="L47" s="11">
        <f>96390+25404.17</f>
        <v>121794.17</v>
      </c>
      <c r="M47" s="43"/>
      <c r="N47" s="11">
        <f>96390+25479.94</f>
        <v>121869.94</v>
      </c>
      <c r="O47" s="11">
        <f>96390+23339.6</f>
        <v>119729.60000000001</v>
      </c>
      <c r="P47" s="11">
        <f>96390+26296.84</f>
        <v>122686.84</v>
      </c>
      <c r="Q47" s="11">
        <f>23754.2+96390</f>
        <v>120144.2</v>
      </c>
    </row>
    <row r="48" spans="1:17" ht="33" customHeight="1">
      <c r="A48" s="61" t="s">
        <v>49</v>
      </c>
      <c r="B48" s="61"/>
      <c r="C48" s="22">
        <v>0</v>
      </c>
      <c r="D48" s="11">
        <f>D47*$C$48</f>
        <v>0</v>
      </c>
      <c r="E48" s="11">
        <f t="shared" ref="E48:Q48" si="17">E47*$C$48</f>
        <v>0</v>
      </c>
      <c r="F48" s="11">
        <f t="shared" si="17"/>
        <v>0</v>
      </c>
      <c r="G48" s="11">
        <f t="shared" si="17"/>
        <v>0</v>
      </c>
      <c r="H48" s="11">
        <f t="shared" si="17"/>
        <v>0</v>
      </c>
      <c r="I48" s="11">
        <f t="shared" si="17"/>
        <v>0</v>
      </c>
      <c r="J48" s="11">
        <f t="shared" si="17"/>
        <v>0</v>
      </c>
      <c r="K48" s="11">
        <f t="shared" si="17"/>
        <v>0</v>
      </c>
      <c r="L48" s="11">
        <f t="shared" si="17"/>
        <v>0</v>
      </c>
      <c r="M48" s="11">
        <f t="shared" si="17"/>
        <v>0</v>
      </c>
      <c r="N48" s="11">
        <f t="shared" si="17"/>
        <v>0</v>
      </c>
      <c r="O48" s="11">
        <f t="shared" si="17"/>
        <v>0</v>
      </c>
      <c r="P48" s="11">
        <f t="shared" si="17"/>
        <v>0</v>
      </c>
      <c r="Q48" s="11">
        <f t="shared" si="17"/>
        <v>0</v>
      </c>
    </row>
    <row r="49" spans="1:17" ht="33" customHeight="1">
      <c r="A49" s="25">
        <v>16</v>
      </c>
      <c r="B49" s="9" t="s">
        <v>39</v>
      </c>
      <c r="C49" s="12" t="s">
        <v>40</v>
      </c>
      <c r="D49" s="10">
        <v>222.46</v>
      </c>
      <c r="E49" s="11">
        <v>218.75</v>
      </c>
      <c r="F49" s="11">
        <v>229.16</v>
      </c>
      <c r="G49" s="11">
        <v>228.99</v>
      </c>
      <c r="H49" s="11">
        <v>224.77</v>
      </c>
      <c r="I49" s="11">
        <v>363.19</v>
      </c>
      <c r="J49" s="11">
        <v>370.6</v>
      </c>
      <c r="K49" s="11"/>
      <c r="L49" s="11">
        <v>436.8</v>
      </c>
      <c r="M49" s="11"/>
      <c r="N49" s="11">
        <v>341.89</v>
      </c>
      <c r="O49" s="11">
        <v>251.86</v>
      </c>
      <c r="P49" s="11">
        <v>287.22000000000003</v>
      </c>
      <c r="Q49" s="11">
        <v>287.04000000000002</v>
      </c>
    </row>
    <row r="50" spans="1:17" ht="33" customHeight="1">
      <c r="A50" s="52" t="s">
        <v>47</v>
      </c>
      <c r="B50" s="55"/>
      <c r="C50" s="22">
        <v>0</v>
      </c>
      <c r="D50" s="41">
        <f>D49*$C$50</f>
        <v>0</v>
      </c>
      <c r="E50" s="41">
        <f t="shared" ref="E50:Q50" si="18">E49*$C$50</f>
        <v>0</v>
      </c>
      <c r="F50" s="41">
        <f t="shared" si="18"/>
        <v>0</v>
      </c>
      <c r="G50" s="41">
        <f t="shared" si="18"/>
        <v>0</v>
      </c>
      <c r="H50" s="41">
        <f t="shared" si="18"/>
        <v>0</v>
      </c>
      <c r="I50" s="41">
        <f t="shared" si="18"/>
        <v>0</v>
      </c>
      <c r="J50" s="41">
        <f t="shared" si="18"/>
        <v>0</v>
      </c>
      <c r="K50" s="41">
        <f t="shared" si="18"/>
        <v>0</v>
      </c>
      <c r="L50" s="41">
        <f t="shared" si="18"/>
        <v>0</v>
      </c>
      <c r="M50" s="41">
        <f t="shared" si="18"/>
        <v>0</v>
      </c>
      <c r="N50" s="41">
        <f t="shared" si="18"/>
        <v>0</v>
      </c>
      <c r="O50" s="41">
        <f t="shared" si="18"/>
        <v>0</v>
      </c>
      <c r="P50" s="41">
        <f t="shared" si="18"/>
        <v>0</v>
      </c>
      <c r="Q50" s="41">
        <f t="shared" si="18"/>
        <v>0</v>
      </c>
    </row>
    <row r="51" spans="1:17" ht="33" customHeight="1">
      <c r="A51" s="52" t="s">
        <v>53</v>
      </c>
      <c r="B51" s="56"/>
      <c r="C51" s="55"/>
      <c r="D51" s="11">
        <f>D34+D36+D38+D40+D42+D44+D46+D48+D50</f>
        <v>0</v>
      </c>
      <c r="E51" s="11">
        <f t="shared" ref="E51:Q51" si="19">E34+E36+E38+E40+E42+E44+E46+E48+E50</f>
        <v>0</v>
      </c>
      <c r="F51" s="11">
        <f t="shared" si="19"/>
        <v>0</v>
      </c>
      <c r="G51" s="11">
        <f t="shared" si="19"/>
        <v>0</v>
      </c>
      <c r="H51" s="11">
        <f>H34+H36+H38+H40+H42+H44+H46+H48+H50</f>
        <v>0</v>
      </c>
      <c r="I51" s="11">
        <f t="shared" si="19"/>
        <v>0</v>
      </c>
      <c r="J51" s="11">
        <f t="shared" si="19"/>
        <v>0</v>
      </c>
      <c r="K51" s="11">
        <f t="shared" si="19"/>
        <v>0</v>
      </c>
      <c r="L51" s="11">
        <f t="shared" si="19"/>
        <v>0</v>
      </c>
      <c r="M51" s="11">
        <f t="shared" si="19"/>
        <v>0</v>
      </c>
      <c r="N51" s="11">
        <f t="shared" si="19"/>
        <v>0</v>
      </c>
      <c r="O51" s="11">
        <f t="shared" si="19"/>
        <v>0</v>
      </c>
      <c r="P51" s="11">
        <f t="shared" si="19"/>
        <v>0</v>
      </c>
      <c r="Q51" s="11">
        <f t="shared" si="19"/>
        <v>0</v>
      </c>
    </row>
    <row r="52" spans="1:17" ht="67.5" customHeight="1">
      <c r="A52" s="58" t="s">
        <v>65</v>
      </c>
      <c r="B52" s="59"/>
      <c r="C52" s="60"/>
      <c r="D52" s="11">
        <f>D31+D51</f>
        <v>0</v>
      </c>
      <c r="E52" s="11">
        <f t="shared" ref="E52:Q52" si="20">E31+E51</f>
        <v>0</v>
      </c>
      <c r="F52" s="11">
        <f t="shared" si="20"/>
        <v>0</v>
      </c>
      <c r="G52" s="11">
        <f t="shared" si="20"/>
        <v>0</v>
      </c>
      <c r="H52" s="11">
        <f t="shared" si="20"/>
        <v>0</v>
      </c>
      <c r="I52" s="11">
        <f t="shared" si="20"/>
        <v>0</v>
      </c>
      <c r="J52" s="11">
        <f t="shared" si="20"/>
        <v>0</v>
      </c>
      <c r="K52" s="11">
        <f t="shared" si="20"/>
        <v>0</v>
      </c>
      <c r="L52" s="11">
        <f t="shared" si="20"/>
        <v>0</v>
      </c>
      <c r="M52" s="11">
        <f t="shared" si="20"/>
        <v>0</v>
      </c>
      <c r="N52" s="11">
        <f t="shared" si="20"/>
        <v>0</v>
      </c>
      <c r="O52" s="11">
        <f t="shared" si="20"/>
        <v>0</v>
      </c>
      <c r="P52" s="11">
        <f t="shared" si="20"/>
        <v>0</v>
      </c>
      <c r="Q52" s="11">
        <f t="shared" si="20"/>
        <v>0</v>
      </c>
    </row>
    <row r="53" spans="1:17" ht="60.75" customHeight="1">
      <c r="A53" s="57" t="s">
        <v>61</v>
      </c>
      <c r="B53" s="57"/>
      <c r="C53" s="57"/>
      <c r="D53" s="57"/>
      <c r="E53" s="57"/>
      <c r="F53" s="57"/>
      <c r="G53" s="57"/>
      <c r="H53" s="57"/>
      <c r="I53" s="57"/>
      <c r="J53" s="57"/>
      <c r="K53" s="57"/>
      <c r="L53" s="57"/>
      <c r="M53" s="57"/>
      <c r="N53" s="57"/>
      <c r="O53" s="57"/>
      <c r="P53" s="57"/>
      <c r="Q53" s="57"/>
    </row>
    <row r="54" spans="1:17" ht="11.25" customHeight="1">
      <c r="B54" s="16"/>
      <c r="C54" s="14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</row>
    <row r="55" spans="1:17" ht="35.25" customHeight="1">
      <c r="A55" s="52" t="s">
        <v>50</v>
      </c>
      <c r="B55" s="55"/>
      <c r="C55" s="27">
        <v>0</v>
      </c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</row>
    <row r="56" spans="1:17" ht="29.25" customHeight="1">
      <c r="A56" s="52" t="s">
        <v>51</v>
      </c>
      <c r="B56" s="55"/>
      <c r="C56" s="22">
        <v>0</v>
      </c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</row>
    <row r="57" spans="1:17" ht="18.75">
      <c r="B57" s="16"/>
      <c r="C57" s="14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</row>
    <row r="58" spans="1:17" ht="35.25" customHeight="1">
      <c r="A58" s="52" t="s">
        <v>62</v>
      </c>
      <c r="B58" s="53"/>
      <c r="C58" s="53"/>
      <c r="D58" s="53"/>
      <c r="E58" s="53"/>
      <c r="F58" s="53"/>
      <c r="G58" s="53"/>
      <c r="H58" s="53"/>
      <c r="I58" s="53"/>
      <c r="J58" s="53"/>
      <c r="K58" s="53"/>
      <c r="L58" s="53"/>
      <c r="M58" s="53"/>
      <c r="N58" s="53"/>
      <c r="O58" s="53"/>
      <c r="P58" s="53"/>
      <c r="Q58" s="54"/>
    </row>
    <row r="59" spans="1:17" ht="48.75" customHeight="1">
      <c r="A59" s="47" t="s">
        <v>54</v>
      </c>
      <c r="B59" s="47"/>
      <c r="C59" s="47"/>
      <c r="D59" s="9">
        <f>D31/100*2</f>
        <v>0</v>
      </c>
      <c r="E59" s="9">
        <f t="shared" ref="E59:Q59" si="21">E31/100*2</f>
        <v>0</v>
      </c>
      <c r="F59" s="9">
        <f t="shared" si="21"/>
        <v>0</v>
      </c>
      <c r="G59" s="9">
        <f t="shared" si="21"/>
        <v>0</v>
      </c>
      <c r="H59" s="9">
        <f t="shared" si="21"/>
        <v>0</v>
      </c>
      <c r="I59" s="9">
        <f t="shared" si="21"/>
        <v>0</v>
      </c>
      <c r="J59" s="9">
        <f t="shared" si="21"/>
        <v>0</v>
      </c>
      <c r="K59" s="9">
        <f t="shared" si="21"/>
        <v>0</v>
      </c>
      <c r="L59" s="9">
        <f t="shared" si="21"/>
        <v>0</v>
      </c>
      <c r="M59" s="9">
        <f t="shared" si="21"/>
        <v>0</v>
      </c>
      <c r="N59" s="9">
        <f t="shared" si="21"/>
        <v>0</v>
      </c>
      <c r="O59" s="9">
        <f t="shared" si="21"/>
        <v>0</v>
      </c>
      <c r="P59" s="9">
        <f t="shared" si="21"/>
        <v>0</v>
      </c>
      <c r="Q59" s="9">
        <f t="shared" si="21"/>
        <v>0</v>
      </c>
    </row>
    <row r="60" spans="1:17" ht="44.25" customHeight="1">
      <c r="A60" s="47" t="s">
        <v>55</v>
      </c>
      <c r="B60" s="47"/>
      <c r="C60" s="47"/>
      <c r="D60" s="49" t="e">
        <f>C56/C55</f>
        <v>#DIV/0!</v>
      </c>
      <c r="E60" s="50"/>
      <c r="F60" s="50"/>
      <c r="G60" s="50"/>
      <c r="H60" s="50"/>
      <c r="I60" s="50"/>
      <c r="J60" s="50"/>
      <c r="K60" s="50"/>
      <c r="L60" s="50"/>
      <c r="M60" s="50"/>
      <c r="N60" s="50"/>
      <c r="O60" s="50"/>
      <c r="P60" s="50"/>
      <c r="Q60" s="51"/>
    </row>
    <row r="61" spans="1:17" ht="44.25" customHeight="1">
      <c r="A61" s="47" t="s">
        <v>56</v>
      </c>
      <c r="B61" s="47"/>
      <c r="C61" s="47"/>
      <c r="D61" s="23" t="e">
        <f>D59*$D$60</f>
        <v>#DIV/0!</v>
      </c>
      <c r="E61" s="23" t="e">
        <f t="shared" ref="E61:Q61" si="22">E59*$D$60</f>
        <v>#DIV/0!</v>
      </c>
      <c r="F61" s="23" t="e">
        <f t="shared" si="22"/>
        <v>#DIV/0!</v>
      </c>
      <c r="G61" s="23" t="e">
        <f t="shared" si="22"/>
        <v>#DIV/0!</v>
      </c>
      <c r="H61" s="23" t="e">
        <f t="shared" si="22"/>
        <v>#DIV/0!</v>
      </c>
      <c r="I61" s="23" t="e">
        <f t="shared" si="22"/>
        <v>#DIV/0!</v>
      </c>
      <c r="J61" s="23" t="e">
        <f t="shared" si="22"/>
        <v>#DIV/0!</v>
      </c>
      <c r="K61" s="23" t="e">
        <f t="shared" si="22"/>
        <v>#DIV/0!</v>
      </c>
      <c r="L61" s="23" t="e">
        <f t="shared" si="22"/>
        <v>#DIV/0!</v>
      </c>
      <c r="M61" s="23" t="e">
        <f t="shared" si="22"/>
        <v>#DIV/0!</v>
      </c>
      <c r="N61" s="23" t="e">
        <f t="shared" si="22"/>
        <v>#DIV/0!</v>
      </c>
      <c r="O61" s="23" t="e">
        <f t="shared" si="22"/>
        <v>#DIV/0!</v>
      </c>
      <c r="P61" s="23" t="e">
        <f t="shared" si="22"/>
        <v>#DIV/0!</v>
      </c>
      <c r="Q61" s="23" t="e">
        <f t="shared" si="22"/>
        <v>#DIV/0!</v>
      </c>
    </row>
    <row r="62" spans="1:17" ht="30.75" customHeight="1">
      <c r="A62" s="24"/>
      <c r="B62" s="24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</row>
    <row r="63" spans="1:17" ht="27.75" customHeight="1">
      <c r="A63" s="52" t="s">
        <v>63</v>
      </c>
      <c r="B63" s="53"/>
      <c r="C63" s="53"/>
      <c r="D63" s="53"/>
      <c r="E63" s="53"/>
      <c r="F63" s="53"/>
      <c r="G63" s="53"/>
      <c r="H63" s="53"/>
      <c r="I63" s="53"/>
      <c r="J63" s="53"/>
      <c r="K63" s="53"/>
      <c r="L63" s="53"/>
      <c r="M63" s="53"/>
      <c r="N63" s="53"/>
      <c r="O63" s="53"/>
      <c r="P63" s="53"/>
      <c r="Q63" s="54"/>
    </row>
    <row r="64" spans="1:17" ht="43.5" customHeight="1">
      <c r="A64" s="47" t="s">
        <v>57</v>
      </c>
      <c r="B64" s="47"/>
      <c r="C64" s="47"/>
      <c r="D64" s="9">
        <f>D51/100*20</f>
        <v>0</v>
      </c>
      <c r="E64" s="9">
        <f t="shared" ref="E64:Q64" si="23">E51/100*20</f>
        <v>0</v>
      </c>
      <c r="F64" s="9">
        <f t="shared" si="23"/>
        <v>0</v>
      </c>
      <c r="G64" s="9">
        <f t="shared" si="23"/>
        <v>0</v>
      </c>
      <c r="H64" s="9">
        <f t="shared" si="23"/>
        <v>0</v>
      </c>
      <c r="I64" s="9">
        <f t="shared" si="23"/>
        <v>0</v>
      </c>
      <c r="J64" s="9">
        <f t="shared" si="23"/>
        <v>0</v>
      </c>
      <c r="K64" s="9">
        <f t="shared" si="23"/>
        <v>0</v>
      </c>
      <c r="L64" s="9">
        <f t="shared" si="23"/>
        <v>0</v>
      </c>
      <c r="M64" s="9">
        <f t="shared" si="23"/>
        <v>0</v>
      </c>
      <c r="N64" s="9">
        <f t="shared" si="23"/>
        <v>0</v>
      </c>
      <c r="O64" s="9">
        <f t="shared" si="23"/>
        <v>0</v>
      </c>
      <c r="P64" s="9">
        <f t="shared" si="23"/>
        <v>0</v>
      </c>
      <c r="Q64" s="9">
        <f t="shared" si="23"/>
        <v>0</v>
      </c>
    </row>
    <row r="65" spans="1:17" ht="41.25" customHeight="1">
      <c r="A65" s="47" t="s">
        <v>55</v>
      </c>
      <c r="B65" s="47"/>
      <c r="C65" s="47"/>
      <c r="D65" s="49" t="e">
        <f>C56/C55</f>
        <v>#DIV/0!</v>
      </c>
      <c r="E65" s="50"/>
      <c r="F65" s="50"/>
      <c r="G65" s="50"/>
      <c r="H65" s="50"/>
      <c r="I65" s="50"/>
      <c r="J65" s="50"/>
      <c r="K65" s="50"/>
      <c r="L65" s="50"/>
      <c r="M65" s="50"/>
      <c r="N65" s="50"/>
      <c r="O65" s="50"/>
      <c r="P65" s="50"/>
      <c r="Q65" s="51"/>
    </row>
    <row r="66" spans="1:17" ht="46.5" customHeight="1">
      <c r="A66" s="47" t="s">
        <v>58</v>
      </c>
      <c r="B66" s="47"/>
      <c r="C66" s="47"/>
      <c r="D66" s="9" t="e">
        <f>$D$65*D64</f>
        <v>#DIV/0!</v>
      </c>
      <c r="E66" s="9" t="e">
        <f t="shared" ref="E66:Q66" si="24">$D$65*E64</f>
        <v>#DIV/0!</v>
      </c>
      <c r="F66" s="9" t="e">
        <f t="shared" si="24"/>
        <v>#DIV/0!</v>
      </c>
      <c r="G66" s="9" t="e">
        <f t="shared" si="24"/>
        <v>#DIV/0!</v>
      </c>
      <c r="H66" s="9" t="e">
        <f t="shared" si="24"/>
        <v>#DIV/0!</v>
      </c>
      <c r="I66" s="9" t="e">
        <f t="shared" si="24"/>
        <v>#DIV/0!</v>
      </c>
      <c r="J66" s="9" t="e">
        <f t="shared" si="24"/>
        <v>#DIV/0!</v>
      </c>
      <c r="K66" s="9" t="e">
        <f t="shared" si="24"/>
        <v>#DIV/0!</v>
      </c>
      <c r="L66" s="9" t="e">
        <f t="shared" si="24"/>
        <v>#DIV/0!</v>
      </c>
      <c r="M66" s="9" t="e">
        <f t="shared" si="24"/>
        <v>#DIV/0!</v>
      </c>
      <c r="N66" s="9" t="e">
        <f t="shared" si="24"/>
        <v>#DIV/0!</v>
      </c>
      <c r="O66" s="9" t="e">
        <f t="shared" si="24"/>
        <v>#DIV/0!</v>
      </c>
      <c r="P66" s="9" t="e">
        <f t="shared" si="24"/>
        <v>#DIV/0!</v>
      </c>
      <c r="Q66" s="9" t="e">
        <f t="shared" si="24"/>
        <v>#DIV/0!</v>
      </c>
    </row>
    <row r="67" spans="1:17" ht="26.25" customHeight="1"/>
    <row r="68" spans="1:17" ht="19.5" customHeight="1">
      <c r="A68" s="48" t="s">
        <v>64</v>
      </c>
      <c r="B68" s="48"/>
      <c r="C68" s="48"/>
      <c r="D68" s="48"/>
      <c r="E68" s="48"/>
      <c r="F68" s="48"/>
      <c r="G68" s="48"/>
      <c r="H68" s="48"/>
      <c r="I68" s="48"/>
      <c r="J68" s="48"/>
      <c r="K68" s="48"/>
      <c r="L68" s="48"/>
      <c r="M68" s="48"/>
      <c r="N68" s="48"/>
      <c r="O68" s="48"/>
      <c r="P68" s="48"/>
      <c r="Q68" s="48"/>
    </row>
    <row r="69" spans="1:17" ht="46.5" customHeight="1">
      <c r="A69" s="47" t="s">
        <v>59</v>
      </c>
      <c r="B69" s="47"/>
      <c r="C69" s="47"/>
      <c r="D69" s="9">
        <f>D64+D59</f>
        <v>0</v>
      </c>
      <c r="E69" s="9">
        <f t="shared" ref="E69:Q69" si="25">E64+E59</f>
        <v>0</v>
      </c>
      <c r="F69" s="9">
        <f t="shared" si="25"/>
        <v>0</v>
      </c>
      <c r="G69" s="9">
        <f t="shared" si="25"/>
        <v>0</v>
      </c>
      <c r="H69" s="9">
        <f t="shared" si="25"/>
        <v>0</v>
      </c>
      <c r="I69" s="9">
        <f t="shared" si="25"/>
        <v>0</v>
      </c>
      <c r="J69" s="9">
        <f t="shared" si="25"/>
        <v>0</v>
      </c>
      <c r="K69" s="9">
        <f t="shared" si="25"/>
        <v>0</v>
      </c>
      <c r="L69" s="9">
        <f t="shared" si="25"/>
        <v>0</v>
      </c>
      <c r="M69" s="9">
        <f t="shared" si="25"/>
        <v>0</v>
      </c>
      <c r="N69" s="9">
        <f t="shared" si="25"/>
        <v>0</v>
      </c>
      <c r="O69" s="9">
        <f t="shared" si="25"/>
        <v>0</v>
      </c>
      <c r="P69" s="9">
        <f t="shared" si="25"/>
        <v>0</v>
      </c>
      <c r="Q69" s="9">
        <f t="shared" si="25"/>
        <v>0</v>
      </c>
    </row>
    <row r="70" spans="1:17" ht="45.75" customHeight="1">
      <c r="A70" s="47" t="s">
        <v>60</v>
      </c>
      <c r="B70" s="47"/>
      <c r="C70" s="47"/>
      <c r="D70" s="23" t="e">
        <f>D66+D61</f>
        <v>#DIV/0!</v>
      </c>
      <c r="E70" s="23" t="e">
        <f t="shared" ref="E70:P70" si="26">E66+E61</f>
        <v>#DIV/0!</v>
      </c>
      <c r="F70" s="23" t="e">
        <f t="shared" si="26"/>
        <v>#DIV/0!</v>
      </c>
      <c r="G70" s="23" t="e">
        <f t="shared" si="26"/>
        <v>#DIV/0!</v>
      </c>
      <c r="H70" s="23" t="e">
        <f t="shared" si="26"/>
        <v>#DIV/0!</v>
      </c>
      <c r="I70" s="23" t="e">
        <f t="shared" si="26"/>
        <v>#DIV/0!</v>
      </c>
      <c r="J70" s="23" t="e">
        <f t="shared" si="26"/>
        <v>#DIV/0!</v>
      </c>
      <c r="K70" s="23" t="e">
        <f t="shared" si="26"/>
        <v>#DIV/0!</v>
      </c>
      <c r="L70" s="23" t="e">
        <f t="shared" si="26"/>
        <v>#DIV/0!</v>
      </c>
      <c r="M70" s="23" t="e">
        <f t="shared" si="26"/>
        <v>#DIV/0!</v>
      </c>
      <c r="N70" s="23" t="e">
        <f t="shared" si="26"/>
        <v>#DIV/0!</v>
      </c>
      <c r="O70" s="23" t="e">
        <f t="shared" si="26"/>
        <v>#DIV/0!</v>
      </c>
      <c r="P70" s="23" t="e">
        <f t="shared" si="26"/>
        <v>#DIV/0!</v>
      </c>
      <c r="Q70" s="23" t="e">
        <f>Q66+Q61</f>
        <v>#DIV/0!</v>
      </c>
    </row>
    <row r="75" spans="1:17" ht="18.75">
      <c r="B75" s="26"/>
    </row>
  </sheetData>
  <mergeCells count="44">
    <mergeCell ref="A11:B11"/>
    <mergeCell ref="A4:A5"/>
    <mergeCell ref="A7:Q7"/>
    <mergeCell ref="A32:Q32"/>
    <mergeCell ref="B4:B5"/>
    <mergeCell ref="C4:Q4"/>
    <mergeCell ref="B25:D25"/>
    <mergeCell ref="A13:B13"/>
    <mergeCell ref="A15:B15"/>
    <mergeCell ref="A17:B17"/>
    <mergeCell ref="A19:B19"/>
    <mergeCell ref="A21:B21"/>
    <mergeCell ref="A23:B23"/>
    <mergeCell ref="A30:B30"/>
    <mergeCell ref="A31:C31"/>
    <mergeCell ref="A9:B9"/>
    <mergeCell ref="A55:B55"/>
    <mergeCell ref="A34:B34"/>
    <mergeCell ref="A36:B36"/>
    <mergeCell ref="A38:B38"/>
    <mergeCell ref="A40:B40"/>
    <mergeCell ref="A50:B50"/>
    <mergeCell ref="A53:Q53"/>
    <mergeCell ref="A52:C52"/>
    <mergeCell ref="A42:B42"/>
    <mergeCell ref="A44:B44"/>
    <mergeCell ref="A46:B46"/>
    <mergeCell ref="A48:B48"/>
    <mergeCell ref="A1:Q1"/>
    <mergeCell ref="A70:C70"/>
    <mergeCell ref="A68:Q68"/>
    <mergeCell ref="D65:Q65"/>
    <mergeCell ref="A63:Q63"/>
    <mergeCell ref="A69:C69"/>
    <mergeCell ref="A64:C64"/>
    <mergeCell ref="A65:C65"/>
    <mergeCell ref="A66:C66"/>
    <mergeCell ref="A59:C59"/>
    <mergeCell ref="A60:C60"/>
    <mergeCell ref="A61:C61"/>
    <mergeCell ref="D60:Q60"/>
    <mergeCell ref="A58:Q58"/>
    <mergeCell ref="A56:B56"/>
    <mergeCell ref="A51:C51"/>
  </mergeCells>
  <printOptions horizontalCentered="1"/>
  <pageMargins left="0.19685039370078741" right="0.19685039370078741" top="0.19685039370078741" bottom="0.19685039370078741" header="0.31496062992125984" footer="0.31496062992125984"/>
  <pageSetup paperSize="9" scale="42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707768007845FA44B257027247838830" ma:contentTypeVersion="1" ma:contentTypeDescription="Создание документа." ma:contentTypeScope="" ma:versionID="b6c517a1732ec4b62aac360536a4ed4a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e7823aa727540d6cf926e79e269075bc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Дата начала расписания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Дата окончания расписания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EA5FAEFA-245D-4C7F-A712-2D83B1C4EA61}"/>
</file>

<file path=customXml/itemProps2.xml><?xml version="1.0" encoding="utf-8"?>
<ds:datastoreItem xmlns:ds="http://schemas.openxmlformats.org/officeDocument/2006/customXml" ds:itemID="{7C9BA84C-B329-4B3A-BF5B-CDAA8BB525A0}"/>
</file>

<file path=customXml/itemProps3.xml><?xml version="1.0" encoding="utf-8"?>
<ds:datastoreItem xmlns:ds="http://schemas.openxmlformats.org/officeDocument/2006/customXml" ds:itemID="{C1836914-A9CD-4DAD-AE85-C7407DD379F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2019-09-17T03:36:18Z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0x010100707768007845FA44B257027247838830</vt:lpwstr>
  </property>
</Properties>
</file>