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ЭтаКнига" defaultThemeVersion="124226"/>
  <bookViews>
    <workbookView xWindow="120" yWindow="105" windowWidth="15120" windowHeight="8010" tabRatio="526"/>
  </bookViews>
  <sheets>
    <sheet name="рабочий до 15 г" sheetId="4" r:id="rId1"/>
  </sheets>
  <externalReferences>
    <externalReference r:id="rId2"/>
  </externalReferences>
  <definedNames>
    <definedName name="_xlnm.Print_Titles" localSheetId="0">'рабочий до 15 г'!$13:$14</definedName>
    <definedName name="_xlnm.Print_Area" localSheetId="0">'рабочий до 15 г'!$A$1:$M$1349</definedName>
  </definedNames>
  <calcPr calcId="125725"/>
</workbook>
</file>

<file path=xl/calcChain.xml><?xml version="1.0" encoding="utf-8"?>
<calcChain xmlns="http://schemas.openxmlformats.org/spreadsheetml/2006/main">
  <c r="I1336" i="4"/>
  <c r="J1336"/>
  <c r="K1336"/>
  <c r="L1336"/>
  <c r="M1336"/>
  <c r="H1336"/>
  <c r="M942"/>
  <c r="M941"/>
  <c r="O927"/>
  <c r="P927"/>
  <c r="Q927"/>
  <c r="R927"/>
  <c r="S927"/>
  <c r="N927"/>
  <c r="S929"/>
  <c r="S930"/>
  <c r="S931"/>
  <c r="S932"/>
  <c r="S933"/>
  <c r="P929"/>
  <c r="P930"/>
  <c r="P931"/>
  <c r="P932"/>
  <c r="P933"/>
  <c r="O929"/>
  <c r="O930"/>
  <c r="O931"/>
  <c r="O932"/>
  <c r="O933"/>
  <c r="O928"/>
  <c r="P928"/>
  <c r="Q928"/>
  <c r="R928"/>
  <c r="S928"/>
  <c r="N929"/>
  <c r="N930"/>
  <c r="N931"/>
  <c r="N932"/>
  <c r="N933"/>
  <c r="N928"/>
  <c r="S934"/>
  <c r="Q934"/>
  <c r="R934"/>
  <c r="S936"/>
  <c r="S937"/>
  <c r="S938"/>
  <c r="S939"/>
  <c r="S940"/>
  <c r="S935"/>
  <c r="O934"/>
  <c r="P934"/>
  <c r="N934"/>
  <c r="P936"/>
  <c r="P937"/>
  <c r="P938"/>
  <c r="P939"/>
  <c r="P940"/>
  <c r="O936"/>
  <c r="O937"/>
  <c r="O938"/>
  <c r="O939"/>
  <c r="O940"/>
  <c r="O935"/>
  <c r="P935"/>
  <c r="N936"/>
  <c r="N937"/>
  <c r="N938"/>
  <c r="N939"/>
  <c r="N940"/>
  <c r="N935"/>
  <c r="I941"/>
  <c r="J941"/>
  <c r="K941"/>
  <c r="L941"/>
  <c r="H941"/>
  <c r="I604"/>
  <c r="J604"/>
  <c r="K604"/>
  <c r="L604"/>
  <c r="M604"/>
  <c r="H604"/>
  <c r="I540"/>
  <c r="J540"/>
  <c r="K540"/>
  <c r="L540"/>
  <c r="M540"/>
  <c r="H540"/>
  <c r="I518"/>
  <c r="J518"/>
  <c r="K518"/>
  <c r="L518"/>
  <c r="M518"/>
  <c r="H518"/>
  <c r="I398"/>
  <c r="J398"/>
  <c r="K398"/>
  <c r="L398"/>
  <c r="M398"/>
  <c r="H398"/>
  <c r="I362"/>
  <c r="J362"/>
  <c r="K362"/>
  <c r="L362"/>
  <c r="M362"/>
  <c r="H362"/>
  <c r="M198"/>
  <c r="H1350" l="1"/>
  <c r="N61"/>
  <c r="I193"/>
  <c r="J193"/>
  <c r="K193"/>
  <c r="L193"/>
  <c r="M193"/>
  <c r="H193"/>
  <c r="H69"/>
  <c r="H70"/>
  <c r="H71"/>
  <c r="H72"/>
  <c r="H73"/>
  <c r="H68"/>
  <c r="H104"/>
  <c r="H105"/>
  <c r="H106"/>
  <c r="H107"/>
  <c r="H108"/>
  <c r="H103"/>
  <c r="H114"/>
  <c r="H119"/>
  <c r="H198"/>
  <c r="H194"/>
  <c r="J195"/>
  <c r="J196"/>
  <c r="J197"/>
  <c r="J198"/>
  <c r="J199"/>
  <c r="J194"/>
  <c r="I1350"/>
  <c r="I1342"/>
  <c r="K1350"/>
  <c r="L1350"/>
  <c r="M1350"/>
  <c r="N62" l="1"/>
  <c r="N63"/>
  <c r="N64"/>
  <c r="N65"/>
  <c r="N66"/>
  <c r="M195"/>
  <c r="M939"/>
  <c r="N67"/>
  <c r="M940"/>
  <c r="K935"/>
  <c r="M194"/>
  <c r="M196"/>
  <c r="M197"/>
  <c r="M946"/>
  <c r="M1348" s="1"/>
  <c r="H80"/>
  <c r="I1335" l="1"/>
  <c r="I1334"/>
  <c r="I1333"/>
  <c r="I1332"/>
  <c r="I1331"/>
  <c r="I1330"/>
  <c r="J1335"/>
  <c r="J1334"/>
  <c r="J1333"/>
  <c r="J1332"/>
  <c r="J1331"/>
  <c r="J1330"/>
  <c r="I524" l="1"/>
  <c r="J523"/>
  <c r="I523"/>
  <c r="J522"/>
  <c r="I522"/>
  <c r="J521"/>
  <c r="I521"/>
  <c r="J520"/>
  <c r="I520"/>
  <c r="J519"/>
  <c r="I519"/>
  <c r="M524"/>
  <c r="M523"/>
  <c r="M522"/>
  <c r="M521"/>
  <c r="M520"/>
  <c r="M519"/>
  <c r="M1342"/>
  <c r="M1341"/>
  <c r="M1340"/>
  <c r="M1339"/>
  <c r="M1338"/>
  <c r="M1337"/>
  <c r="I199"/>
  <c r="I198"/>
  <c r="M610"/>
  <c r="M609"/>
  <c r="M608"/>
  <c r="M607"/>
  <c r="M606"/>
  <c r="M605"/>
  <c r="M673"/>
  <c r="J673"/>
  <c r="J938"/>
  <c r="I938"/>
  <c r="J937"/>
  <c r="I937"/>
  <c r="J936"/>
  <c r="I936"/>
  <c r="J935"/>
  <c r="I935"/>
  <c r="I940"/>
  <c r="I939"/>
  <c r="J940"/>
  <c r="J939"/>
  <c r="M545"/>
  <c r="M544"/>
  <c r="M543"/>
  <c r="M542"/>
  <c r="M541"/>
  <c r="M539"/>
  <c r="M546" s="1"/>
  <c r="I368"/>
  <c r="I367"/>
  <c r="I366"/>
  <c r="I365"/>
  <c r="I364"/>
  <c r="I363"/>
  <c r="J368"/>
  <c r="J367"/>
  <c r="J366"/>
  <c r="J365"/>
  <c r="J364"/>
  <c r="J363"/>
  <c r="M368"/>
  <c r="M367"/>
  <c r="M366"/>
  <c r="M365"/>
  <c r="M364"/>
  <c r="M363"/>
  <c r="H352"/>
  <c r="H351"/>
  <c r="H354"/>
  <c r="H353"/>
  <c r="N368"/>
  <c r="N367"/>
  <c r="I197" l="1"/>
  <c r="I196"/>
  <c r="I195"/>
  <c r="I194"/>
  <c r="H143"/>
  <c r="H142"/>
  <c r="H115"/>
  <c r="H150"/>
  <c r="H149"/>
  <c r="I1231" l="1"/>
  <c r="I1228"/>
  <c r="I1227"/>
  <c r="J1232"/>
  <c r="J1231"/>
  <c r="J1230"/>
  <c r="J1229"/>
  <c r="J1228"/>
  <c r="J1227"/>
  <c r="H1225"/>
  <c r="H1224"/>
  <c r="I1222"/>
  <c r="H1222" s="1"/>
  <c r="H1221"/>
  <c r="H1217"/>
  <c r="H1214"/>
  <c r="H1211"/>
  <c r="H1210"/>
  <c r="I1208"/>
  <c r="H1208" s="1"/>
  <c r="H1203"/>
  <c r="H1201"/>
  <c r="H1200"/>
  <c r="H1197"/>
  <c r="H1196"/>
  <c r="I1194"/>
  <c r="H1194" s="1"/>
  <c r="H1190"/>
  <c r="H1189"/>
  <c r="H1188"/>
  <c r="H1187"/>
  <c r="H1164"/>
  <c r="H1227" s="1"/>
  <c r="H1161"/>
  <c r="H1159"/>
  <c r="H1127"/>
  <c r="H1119"/>
  <c r="H1118"/>
  <c r="H1106"/>
  <c r="H1099"/>
  <c r="H1098"/>
  <c r="H1075"/>
  <c r="H1074"/>
  <c r="H1228" s="1"/>
  <c r="H1056"/>
  <c r="H1049"/>
  <c r="H517"/>
  <c r="H516"/>
  <c r="H515"/>
  <c r="H514"/>
  <c r="H513"/>
  <c r="H512"/>
  <c r="H510"/>
  <c r="H509"/>
  <c r="H508"/>
  <c r="H507"/>
  <c r="H506"/>
  <c r="H505"/>
  <c r="H503"/>
  <c r="H502"/>
  <c r="H501"/>
  <c r="H500"/>
  <c r="H499"/>
  <c r="H498"/>
  <c r="H496"/>
  <c r="H495"/>
  <c r="H494"/>
  <c r="H493"/>
  <c r="H492"/>
  <c r="H491"/>
  <c r="H489"/>
  <c r="H488"/>
  <c r="H487"/>
  <c r="H486"/>
  <c r="H485"/>
  <c r="H484"/>
  <c r="H482"/>
  <c r="H481"/>
  <c r="H480"/>
  <c r="H479"/>
  <c r="H478"/>
  <c r="H477"/>
  <c r="H475"/>
  <c r="H474"/>
  <c r="H473"/>
  <c r="H472"/>
  <c r="H471"/>
  <c r="H470"/>
  <c r="H468"/>
  <c r="H467"/>
  <c r="H466"/>
  <c r="H465"/>
  <c r="H464"/>
  <c r="H463"/>
  <c r="H461"/>
  <c r="H460"/>
  <c r="H459"/>
  <c r="H458"/>
  <c r="H457"/>
  <c r="H456"/>
  <c r="H454"/>
  <c r="H453"/>
  <c r="H452"/>
  <c r="H451"/>
  <c r="H450"/>
  <c r="H449"/>
  <c r="H447"/>
  <c r="H446"/>
  <c r="H445"/>
  <c r="H444"/>
  <c r="H443"/>
  <c r="H442"/>
  <c r="H440"/>
  <c r="H439"/>
  <c r="H438"/>
  <c r="H437"/>
  <c r="H436"/>
  <c r="H435"/>
  <c r="H432"/>
  <c r="H431"/>
  <c r="H430"/>
  <c r="H429"/>
  <c r="H428"/>
  <c r="H1229" l="1"/>
  <c r="I1229"/>
  <c r="H1105"/>
  <c r="H1126"/>
  <c r="H1231" s="1"/>
  <c r="I1195"/>
  <c r="I1209"/>
  <c r="H1209" s="1"/>
  <c r="I1232"/>
  <c r="I1223"/>
  <c r="H1195" l="1"/>
  <c r="I1230"/>
  <c r="H1218"/>
  <c r="H1232" s="1"/>
  <c r="H1223"/>
  <c r="H1230" l="1"/>
  <c r="J433"/>
  <c r="J524" s="1"/>
  <c r="K519"/>
  <c r="K520"/>
  <c r="K521"/>
  <c r="H527"/>
  <c r="H528"/>
  <c r="H529"/>
  <c r="H530"/>
  <c r="H531"/>
  <c r="H532"/>
  <c r="H534"/>
  <c r="H535"/>
  <c r="H542" s="1"/>
  <c r="H536"/>
  <c r="H537"/>
  <c r="H538"/>
  <c r="H545" s="1"/>
  <c r="H539"/>
  <c r="H546" s="1"/>
  <c r="H541"/>
  <c r="I541"/>
  <c r="J541"/>
  <c r="K541" s="1"/>
  <c r="I542"/>
  <c r="J542"/>
  <c r="K542" s="1"/>
  <c r="H543"/>
  <c r="I543"/>
  <c r="J543"/>
  <c r="K543" s="1"/>
  <c r="H544"/>
  <c r="I544"/>
  <c r="J544"/>
  <c r="I545"/>
  <c r="J545"/>
  <c r="I546"/>
  <c r="J546"/>
  <c r="H550"/>
  <c r="H551"/>
  <c r="G551" s="1"/>
  <c r="H552"/>
  <c r="H553"/>
  <c r="H554"/>
  <c r="F556"/>
  <c r="H556"/>
  <c r="G556" s="1"/>
  <c r="H557"/>
  <c r="H558"/>
  <c r="H559"/>
  <c r="H560"/>
  <c r="H561"/>
  <c r="H563"/>
  <c r="H564"/>
  <c r="H565"/>
  <c r="H566"/>
  <c r="F567"/>
  <c r="H567"/>
  <c r="H568"/>
  <c r="F569"/>
  <c r="F570" s="1"/>
  <c r="G570"/>
  <c r="H570"/>
  <c r="H571"/>
  <c r="J572"/>
  <c r="H572" s="1"/>
  <c r="H573"/>
  <c r="H433" l="1"/>
  <c r="M404" l="1"/>
  <c r="M403"/>
  <c r="M402"/>
  <c r="M945" s="1"/>
  <c r="M1347" s="1"/>
  <c r="M401"/>
  <c r="M944" s="1"/>
  <c r="M1346" s="1"/>
  <c r="M400"/>
  <c r="M943" s="1"/>
  <c r="M1345" s="1"/>
  <c r="M399"/>
  <c r="M1344" s="1"/>
  <c r="I1042"/>
  <c r="I1041"/>
  <c r="I1040"/>
  <c r="I1039"/>
  <c r="I1038"/>
  <c r="I1037"/>
  <c r="J1042"/>
  <c r="J1041"/>
  <c r="J1040"/>
  <c r="J1039"/>
  <c r="J1038"/>
  <c r="J1037"/>
  <c r="L828"/>
  <c r="L827"/>
  <c r="G932"/>
  <c r="H1035"/>
  <c r="H1034"/>
  <c r="H1033"/>
  <c r="H1032"/>
  <c r="H1031"/>
  <c r="H1030"/>
  <c r="K936"/>
  <c r="H926"/>
  <c r="K937"/>
  <c r="L826"/>
  <c r="G361" l="1"/>
  <c r="G360"/>
  <c r="H361"/>
  <c r="H360"/>
  <c r="H347"/>
  <c r="H346"/>
  <c r="H19"/>
  <c r="H26"/>
  <c r="G26" s="1"/>
  <c r="F26" s="1"/>
  <c r="F25" s="1"/>
  <c r="H27"/>
  <c r="H28"/>
  <c r="H29"/>
  <c r="H30"/>
  <c r="H31"/>
  <c r="H33"/>
  <c r="H40"/>
  <c r="H47"/>
  <c r="F59"/>
  <c r="H54"/>
  <c r="H61"/>
  <c r="H75"/>
  <c r="H82"/>
  <c r="H89"/>
  <c r="F95"/>
  <c r="H96"/>
  <c r="H97"/>
  <c r="H98"/>
  <c r="H99"/>
  <c r="H100"/>
  <c r="H101"/>
  <c r="H110"/>
  <c r="H117"/>
  <c r="H124"/>
  <c r="F129"/>
  <c r="H131"/>
  <c r="F136"/>
  <c r="H138"/>
  <c r="H145"/>
  <c r="H152"/>
  <c r="F151"/>
  <c r="F153" s="1"/>
  <c r="G25" l="1"/>
  <c r="H159"/>
  <c r="H180" l="1"/>
  <c r="H181"/>
  <c r="H182"/>
  <c r="H183"/>
  <c r="M185"/>
  <c r="M199" s="1"/>
  <c r="M947" l="1"/>
  <c r="M1349" s="1"/>
  <c r="J972"/>
  <c r="J973"/>
  <c r="J974"/>
  <c r="J975"/>
  <c r="J976"/>
  <c r="J977"/>
  <c r="I973"/>
  <c r="I974"/>
  <c r="I975"/>
  <c r="I976"/>
  <c r="I977"/>
  <c r="I972"/>
  <c r="L865"/>
  <c r="K977"/>
  <c r="L864"/>
  <c r="K976"/>
  <c r="L863"/>
  <c r="K975"/>
  <c r="L862"/>
  <c r="K974"/>
  <c r="L861"/>
  <c r="K973"/>
  <c r="L860"/>
  <c r="K972"/>
  <c r="J1008"/>
  <c r="J1009"/>
  <c r="J1010"/>
  <c r="J1011"/>
  <c r="J1012"/>
  <c r="J1013"/>
  <c r="I1009"/>
  <c r="I1010"/>
  <c r="I1011"/>
  <c r="I1012"/>
  <c r="I1013"/>
  <c r="I1008"/>
  <c r="L901"/>
  <c r="K1013"/>
  <c r="L900"/>
  <c r="K1012"/>
  <c r="L899"/>
  <c r="K1011"/>
  <c r="L898"/>
  <c r="K1010"/>
  <c r="L897"/>
  <c r="K1009"/>
  <c r="L896"/>
  <c r="K1008"/>
  <c r="K1037"/>
  <c r="L925"/>
  <c r="K1038"/>
  <c r="L926"/>
  <c r="K1039"/>
  <c r="L927"/>
  <c r="K1040"/>
  <c r="L928"/>
  <c r="K1041"/>
  <c r="L929"/>
  <c r="K1042"/>
  <c r="L930"/>
  <c r="K1227"/>
  <c r="K1229"/>
  <c r="K1228"/>
  <c r="I1250"/>
  <c r="J1250"/>
  <c r="K1250" s="1"/>
  <c r="I1251"/>
  <c r="J1251"/>
  <c r="K1251" s="1"/>
  <c r="I1252"/>
  <c r="J1252"/>
  <c r="L1084" s="1"/>
  <c r="I1253"/>
  <c r="J1253"/>
  <c r="L1085" s="1"/>
  <c r="I1254"/>
  <c r="J1254"/>
  <c r="L1086" s="1"/>
  <c r="J1249"/>
  <c r="I1249"/>
  <c r="L1081"/>
  <c r="K1249"/>
  <c r="J1264"/>
  <c r="J1265"/>
  <c r="K1265" s="1"/>
  <c r="J1266"/>
  <c r="K1266" s="1"/>
  <c r="J1267"/>
  <c r="J1268"/>
  <c r="L1093" s="1"/>
  <c r="J1269"/>
  <c r="L1094" s="1"/>
  <c r="I1265"/>
  <c r="I1266"/>
  <c r="I1267"/>
  <c r="I1268"/>
  <c r="I1269"/>
  <c r="I1264"/>
  <c r="K1264"/>
  <c r="I1294"/>
  <c r="J1294"/>
  <c r="K1294" s="1"/>
  <c r="I1295"/>
  <c r="J1295"/>
  <c r="K1295" s="1"/>
  <c r="I1296"/>
  <c r="J1296"/>
  <c r="I1297"/>
  <c r="J1297"/>
  <c r="I1298"/>
  <c r="J1298"/>
  <c r="J1293"/>
  <c r="K1293"/>
  <c r="I1293"/>
  <c r="I1316"/>
  <c r="J1316"/>
  <c r="K1316" s="1"/>
  <c r="I1317"/>
  <c r="J1317"/>
  <c r="K1317" s="1"/>
  <c r="I1318"/>
  <c r="J1318"/>
  <c r="L1122" s="1"/>
  <c r="I1319"/>
  <c r="J1319"/>
  <c r="L1123" s="1"/>
  <c r="I1320"/>
  <c r="J1320"/>
  <c r="L1124" s="1"/>
  <c r="J1315"/>
  <c r="I1315"/>
  <c r="K1315"/>
  <c r="K1331"/>
  <c r="K1332"/>
  <c r="L1144"/>
  <c r="L1145"/>
  <c r="L1146"/>
  <c r="K1330"/>
  <c r="L1141"/>
  <c r="L935" l="1"/>
  <c r="I1340"/>
  <c r="I1338"/>
  <c r="J1341"/>
  <c r="J1339"/>
  <c r="J1337"/>
  <c r="I1337"/>
  <c r="I1341"/>
  <c r="I1339"/>
  <c r="J1342"/>
  <c r="J1340"/>
  <c r="J1338"/>
  <c r="H1001"/>
  <c r="H1002"/>
  <c r="F850"/>
  <c r="F854" s="1"/>
  <c r="F690"/>
  <c r="F676"/>
  <c r="F641"/>
  <c r="H1337" l="1"/>
  <c r="G579"/>
  <c r="F576"/>
  <c r="F579" s="1"/>
  <c r="F420" l="1"/>
  <c r="F414"/>
  <c r="H414"/>
  <c r="F407"/>
  <c r="F391"/>
  <c r="F396" s="1"/>
  <c r="K344" l="1"/>
  <c r="K351"/>
  <c r="F302"/>
  <c r="E299"/>
  <c r="E285"/>
  <c r="F289"/>
  <c r="F231" l="1"/>
  <c r="E229"/>
  <c r="F202" l="1"/>
  <c r="F108" l="1"/>
  <c r="F87"/>
  <c r="D4" l="1"/>
  <c r="N365"/>
  <c r="G231" l="1"/>
  <c r="E4"/>
  <c r="G153"/>
  <c r="F4" l="1"/>
  <c r="G302"/>
  <c r="H891"/>
  <c r="H890"/>
  <c r="H889"/>
  <c r="H888"/>
  <c r="H887"/>
  <c r="H886"/>
  <c r="G891" l="1"/>
  <c r="G4"/>
  <c r="G854"/>
  <c r="G289"/>
  <c r="I605"/>
  <c r="I606"/>
  <c r="I607"/>
  <c r="I608"/>
  <c r="I609"/>
  <c r="I610"/>
  <c r="J608"/>
  <c r="J609"/>
  <c r="J610"/>
  <c r="J605"/>
  <c r="H59"/>
  <c r="H58"/>
  <c r="H57"/>
  <c r="H56"/>
  <c r="H55"/>
  <c r="J400"/>
  <c r="G638" l="1"/>
  <c r="G396"/>
  <c r="H4"/>
  <c r="K605"/>
  <c r="H795"/>
  <c r="H796"/>
  <c r="H797"/>
  <c r="H798"/>
  <c r="H799"/>
  <c r="H800"/>
  <c r="G180" l="1"/>
  <c r="G807"/>
  <c r="F891"/>
  <c r="G890" s="1"/>
  <c r="F890" s="1"/>
  <c r="F885" s="1"/>
  <c r="E885" s="1"/>
  <c r="G87"/>
  <c r="G108"/>
  <c r="G129"/>
  <c r="G136"/>
  <c r="G59"/>
  <c r="L488"/>
  <c r="L489"/>
  <c r="I399"/>
  <c r="I400"/>
  <c r="I401"/>
  <c r="I402"/>
  <c r="I403"/>
  <c r="I946" s="1"/>
  <c r="I404"/>
  <c r="I947" s="1"/>
  <c r="J401"/>
  <c r="J402"/>
  <c r="J403"/>
  <c r="L403" s="1"/>
  <c r="J404"/>
  <c r="L404" s="1"/>
  <c r="J399"/>
  <c r="L402"/>
  <c r="K401"/>
  <c r="K400"/>
  <c r="K399"/>
  <c r="N364"/>
  <c r="K365"/>
  <c r="L367"/>
  <c r="L368"/>
  <c r="K363"/>
  <c r="J942"/>
  <c r="J1344" s="1"/>
  <c r="I942"/>
  <c r="H192"/>
  <c r="H191"/>
  <c r="H190"/>
  <c r="H189"/>
  <c r="H188"/>
  <c r="H187"/>
  <c r="O830" l="1"/>
  <c r="I1344"/>
  <c r="H1344" s="1"/>
  <c r="N197"/>
  <c r="K364"/>
  <c r="J947"/>
  <c r="J1349" s="1"/>
  <c r="N1349" s="1"/>
  <c r="J945"/>
  <c r="J1347" s="1"/>
  <c r="I1348"/>
  <c r="I944"/>
  <c r="I1346" s="1"/>
  <c r="J946"/>
  <c r="J1348" s="1"/>
  <c r="N1348" s="1"/>
  <c r="I1349"/>
  <c r="I945"/>
  <c r="I1347" s="1"/>
  <c r="I943"/>
  <c r="I1345" s="1"/>
  <c r="L366"/>
  <c r="H21" l="1"/>
  <c r="H863"/>
  <c r="H862"/>
  <c r="H861"/>
  <c r="H860"/>
  <c r="H859"/>
  <c r="H858"/>
  <c r="H856"/>
  <c r="H855"/>
  <c r="H854"/>
  <c r="F855" s="1"/>
  <c r="H853"/>
  <c r="H852"/>
  <c r="H851"/>
  <c r="H849"/>
  <c r="H848"/>
  <c r="H847"/>
  <c r="G847" s="1"/>
  <c r="F847" s="1"/>
  <c r="H846"/>
  <c r="H845"/>
  <c r="H844"/>
  <c r="H842"/>
  <c r="H841"/>
  <c r="H840"/>
  <c r="G840" s="1"/>
  <c r="F840" s="1"/>
  <c r="H839"/>
  <c r="H838"/>
  <c r="H837"/>
  <c r="H835"/>
  <c r="H834"/>
  <c r="H833"/>
  <c r="G833" s="1"/>
  <c r="F833" s="1"/>
  <c r="H832"/>
  <c r="H831"/>
  <c r="H830"/>
  <c r="H828"/>
  <c r="H827"/>
  <c r="H826"/>
  <c r="G826" s="1"/>
  <c r="F826" s="1"/>
  <c r="H825"/>
  <c r="H824"/>
  <c r="H823"/>
  <c r="F856" l="1"/>
  <c r="G856" s="1"/>
  <c r="G855"/>
  <c r="G825"/>
  <c r="F825" s="1"/>
  <c r="G824" s="1"/>
  <c r="F824" s="1"/>
  <c r="F822" s="1"/>
  <c r="E822" s="1"/>
  <c r="G831"/>
  <c r="F831" s="1"/>
  <c r="F829" s="1"/>
  <c r="E829" s="1"/>
  <c r="G838"/>
  <c r="F838" s="1"/>
  <c r="F836" s="1"/>
  <c r="E836" s="1"/>
  <c r="G845"/>
  <c r="F845" s="1"/>
  <c r="F843" s="1"/>
  <c r="E843" s="1"/>
  <c r="H821"/>
  <c r="H820"/>
  <c r="H819"/>
  <c r="H818"/>
  <c r="G818" s="1"/>
  <c r="F818" s="1"/>
  <c r="H817"/>
  <c r="H816"/>
  <c r="H902"/>
  <c r="H903"/>
  <c r="H912"/>
  <c r="H911"/>
  <c r="H910"/>
  <c r="G910" s="1"/>
  <c r="F910" s="1"/>
  <c r="H909"/>
  <c r="H908"/>
  <c r="H907"/>
  <c r="H905"/>
  <c r="H904"/>
  <c r="G904" s="1"/>
  <c r="F904" s="1"/>
  <c r="H901"/>
  <c r="H900"/>
  <c r="H898"/>
  <c r="H897"/>
  <c r="H896"/>
  <c r="G896" s="1"/>
  <c r="F896" s="1"/>
  <c r="H895"/>
  <c r="H894"/>
  <c r="H893"/>
  <c r="H884"/>
  <c r="H883"/>
  <c r="H882"/>
  <c r="G882" s="1"/>
  <c r="F882" s="1"/>
  <c r="H881"/>
  <c r="H880"/>
  <c r="H879"/>
  <c r="J606"/>
  <c r="J607"/>
  <c r="H603"/>
  <c r="H602"/>
  <c r="H601"/>
  <c r="H600"/>
  <c r="H599"/>
  <c r="H598"/>
  <c r="H340"/>
  <c r="G340" s="1"/>
  <c r="F340" s="1"/>
  <c r="G339" s="1"/>
  <c r="F339" s="1"/>
  <c r="H339"/>
  <c r="H338"/>
  <c r="H337"/>
  <c r="H336"/>
  <c r="H335"/>
  <c r="H296"/>
  <c r="H297"/>
  <c r="H298"/>
  <c r="G298" s="1"/>
  <c r="F298" s="1"/>
  <c r="H324"/>
  <c r="G324" s="1"/>
  <c r="F324" s="1"/>
  <c r="H312"/>
  <c r="H311"/>
  <c r="H310"/>
  <c r="H309"/>
  <c r="G309" s="1"/>
  <c r="F309" s="1"/>
  <c r="H308"/>
  <c r="H307"/>
  <c r="H230"/>
  <c r="H234"/>
  <c r="H235"/>
  <c r="G73"/>
  <c r="F73" s="1"/>
  <c r="H76"/>
  <c r="H77"/>
  <c r="H78"/>
  <c r="H79"/>
  <c r="G80"/>
  <c r="F80" s="1"/>
  <c r="H83"/>
  <c r="H84"/>
  <c r="H85"/>
  <c r="H86"/>
  <c r="H87"/>
  <c r="H45"/>
  <c r="H178"/>
  <c r="H177"/>
  <c r="G177" s="1"/>
  <c r="F177" s="1"/>
  <c r="H176"/>
  <c r="H175"/>
  <c r="H174"/>
  <c r="H171"/>
  <c r="H170"/>
  <c r="G170" s="1"/>
  <c r="F170" s="1"/>
  <c r="H169"/>
  <c r="H168"/>
  <c r="H167"/>
  <c r="H166"/>
  <c r="H164"/>
  <c r="H163"/>
  <c r="H162"/>
  <c r="H161"/>
  <c r="H160"/>
  <c r="H52"/>
  <c r="H51"/>
  <c r="H50"/>
  <c r="H49"/>
  <c r="H48"/>
  <c r="G297" l="1"/>
  <c r="F297" s="1"/>
  <c r="G72"/>
  <c r="F72" s="1"/>
  <c r="F67" s="1"/>
  <c r="G901"/>
  <c r="F901" s="1"/>
  <c r="F899" s="1"/>
  <c r="E899" s="1"/>
  <c r="G817"/>
  <c r="F817" s="1"/>
  <c r="F815" s="1"/>
  <c r="E815" s="1"/>
  <c r="G169"/>
  <c r="F169" s="1"/>
  <c r="G168" s="1"/>
  <c r="F168" s="1"/>
  <c r="G167" s="1"/>
  <c r="F167" s="1"/>
  <c r="F165" s="1"/>
  <c r="E165" s="1"/>
  <c r="G174"/>
  <c r="F174" s="1"/>
  <c r="F172" s="1"/>
  <c r="E172" s="1"/>
  <c r="G308"/>
  <c r="F308" s="1"/>
  <c r="G307" s="1"/>
  <c r="F307" s="1"/>
  <c r="F306" s="1"/>
  <c r="E306" s="1"/>
  <c r="G338"/>
  <c r="F338" s="1"/>
  <c r="G337" s="1"/>
  <c r="F337" s="1"/>
  <c r="F334" s="1"/>
  <c r="E334" s="1"/>
  <c r="G881"/>
  <c r="F881" s="1"/>
  <c r="F878" s="1"/>
  <c r="E878" s="1"/>
  <c r="G895"/>
  <c r="F895" s="1"/>
  <c r="F892" s="1"/>
  <c r="E892" s="1"/>
  <c r="G909"/>
  <c r="F909" s="1"/>
  <c r="F906" s="1"/>
  <c r="E906" s="1"/>
  <c r="G79"/>
  <c r="F79" s="1"/>
  <c r="F74" s="1"/>
  <c r="K607"/>
  <c r="J944"/>
  <c r="J1346" s="1"/>
  <c r="H1328"/>
  <c r="H1335" s="1"/>
  <c r="H1327"/>
  <c r="H1334" s="1"/>
  <c r="H1326"/>
  <c r="H1333" s="1"/>
  <c r="H1325"/>
  <c r="H1332" s="1"/>
  <c r="H1324"/>
  <c r="H1331" s="1"/>
  <c r="H1323"/>
  <c r="H1330" s="1"/>
  <c r="H1313"/>
  <c r="H1312"/>
  <c r="H1311"/>
  <c r="H1310"/>
  <c r="H1309"/>
  <c r="H1308"/>
  <c r="H1306"/>
  <c r="H1305"/>
  <c r="H1304"/>
  <c r="H1303"/>
  <c r="H1302"/>
  <c r="H1301"/>
  <c r="H1291"/>
  <c r="H1290"/>
  <c r="H1289"/>
  <c r="H1288"/>
  <c r="H1287"/>
  <c r="H1286"/>
  <c r="H1284"/>
  <c r="H1283"/>
  <c r="H1282"/>
  <c r="H1281"/>
  <c r="H1280"/>
  <c r="H1279"/>
  <c r="H1277"/>
  <c r="H1276"/>
  <c r="H1275"/>
  <c r="H1274"/>
  <c r="H1273"/>
  <c r="H1272"/>
  <c r="H1262"/>
  <c r="H1269" s="1"/>
  <c r="H1261"/>
  <c r="H1268" s="1"/>
  <c r="H1260"/>
  <c r="H1267" s="1"/>
  <c r="H1259"/>
  <c r="H1266" s="1"/>
  <c r="H1258"/>
  <c r="H1265" s="1"/>
  <c r="H1257"/>
  <c r="H1264" s="1"/>
  <c r="H1247"/>
  <c r="H1246"/>
  <c r="H1245"/>
  <c r="H1244"/>
  <c r="H1243"/>
  <c r="H1242"/>
  <c r="H1240"/>
  <c r="H1239"/>
  <c r="H1238"/>
  <c r="H1237"/>
  <c r="H1236"/>
  <c r="H1235"/>
  <c r="H1028"/>
  <c r="H1027"/>
  <c r="H1026"/>
  <c r="H1025"/>
  <c r="H1024"/>
  <c r="H1023"/>
  <c r="H1021"/>
  <c r="H1042" s="1"/>
  <c r="H1020"/>
  <c r="H1041" s="1"/>
  <c r="H1019"/>
  <c r="H1040" s="1"/>
  <c r="H1018"/>
  <c r="H1039" s="1"/>
  <c r="H1017"/>
  <c r="H1038" s="1"/>
  <c r="H1016"/>
  <c r="H1037" s="1"/>
  <c r="H999"/>
  <c r="H998"/>
  <c r="H997"/>
  <c r="H996"/>
  <c r="H995"/>
  <c r="H994"/>
  <c r="H992"/>
  <c r="H991"/>
  <c r="H990"/>
  <c r="H989"/>
  <c r="H988"/>
  <c r="H987"/>
  <c r="H985"/>
  <c r="H984"/>
  <c r="H983"/>
  <c r="H982"/>
  <c r="H981"/>
  <c r="H980"/>
  <c r="H970"/>
  <c r="H969"/>
  <c r="H968"/>
  <c r="H967"/>
  <c r="H966"/>
  <c r="H965"/>
  <c r="H963"/>
  <c r="H962"/>
  <c r="H961"/>
  <c r="H960"/>
  <c r="H959"/>
  <c r="H958"/>
  <c r="H956"/>
  <c r="H955"/>
  <c r="H954"/>
  <c r="H953"/>
  <c r="H952"/>
  <c r="H951"/>
  <c r="H917"/>
  <c r="H916"/>
  <c r="H915"/>
  <c r="H914"/>
  <c r="H877"/>
  <c r="G877" s="1"/>
  <c r="F877" s="1"/>
  <c r="H876"/>
  <c r="H875"/>
  <c r="H874"/>
  <c r="H873"/>
  <c r="H872"/>
  <c r="H870"/>
  <c r="H869"/>
  <c r="H868"/>
  <c r="H867"/>
  <c r="H866"/>
  <c r="H865"/>
  <c r="G865" s="1"/>
  <c r="F865" s="1"/>
  <c r="H814"/>
  <c r="G814" s="1"/>
  <c r="F814" s="1"/>
  <c r="H813"/>
  <c r="H812"/>
  <c r="H811"/>
  <c r="H810"/>
  <c r="H809"/>
  <c r="H807"/>
  <c r="H806"/>
  <c r="H805"/>
  <c r="H804"/>
  <c r="H803"/>
  <c r="H802"/>
  <c r="H793"/>
  <c r="H792"/>
  <c r="H791"/>
  <c r="H790"/>
  <c r="G790" s="1"/>
  <c r="F790" s="1"/>
  <c r="H789"/>
  <c r="H788"/>
  <c r="H786"/>
  <c r="H785"/>
  <c r="H784"/>
  <c r="H783"/>
  <c r="G783" s="1"/>
  <c r="F783" s="1"/>
  <c r="H782"/>
  <c r="H781"/>
  <c r="H779"/>
  <c r="H778"/>
  <c r="H777"/>
  <c r="H776"/>
  <c r="G776" s="1"/>
  <c r="F776" s="1"/>
  <c r="F773" s="1"/>
  <c r="H775"/>
  <c r="H774"/>
  <c r="H772"/>
  <c r="H771"/>
  <c r="H770"/>
  <c r="H769"/>
  <c r="G769" s="1"/>
  <c r="F769" s="1"/>
  <c r="H768"/>
  <c r="H767"/>
  <c r="H765"/>
  <c r="H764"/>
  <c r="G764" s="1"/>
  <c r="F764" s="1"/>
  <c r="H763"/>
  <c r="H762"/>
  <c r="H761"/>
  <c r="H760"/>
  <c r="H758"/>
  <c r="G758" s="1"/>
  <c r="F758" s="1"/>
  <c r="H757"/>
  <c r="H756"/>
  <c r="H755"/>
  <c r="H754"/>
  <c r="H753"/>
  <c r="H751"/>
  <c r="H750"/>
  <c r="H749"/>
  <c r="G749" s="1"/>
  <c r="F749" s="1"/>
  <c r="H748"/>
  <c r="H747"/>
  <c r="H746"/>
  <c r="H744"/>
  <c r="H743"/>
  <c r="H742"/>
  <c r="H741"/>
  <c r="H740"/>
  <c r="G740" s="1"/>
  <c r="F740" s="1"/>
  <c r="F738" s="1"/>
  <c r="H739"/>
  <c r="H737"/>
  <c r="H736"/>
  <c r="H735"/>
  <c r="H734"/>
  <c r="G734" s="1"/>
  <c r="F734" s="1"/>
  <c r="H733"/>
  <c r="H732"/>
  <c r="H730"/>
  <c r="H729"/>
  <c r="H728"/>
  <c r="H727"/>
  <c r="G727" s="1"/>
  <c r="F727" s="1"/>
  <c r="H726"/>
  <c r="H725"/>
  <c r="H723"/>
  <c r="H722"/>
  <c r="G722" s="1"/>
  <c r="F722" s="1"/>
  <c r="H721"/>
  <c r="H720"/>
  <c r="H719"/>
  <c r="H718"/>
  <c r="H716"/>
  <c r="H714"/>
  <c r="H713"/>
  <c r="H712"/>
  <c r="H711"/>
  <c r="G711" s="1"/>
  <c r="H709"/>
  <c r="H708"/>
  <c r="H707"/>
  <c r="H706"/>
  <c r="H705"/>
  <c r="H704"/>
  <c r="G704" s="1"/>
  <c r="F704" s="1"/>
  <c r="F703" s="1"/>
  <c r="H702"/>
  <c r="H701"/>
  <c r="H700"/>
  <c r="H699"/>
  <c r="H698"/>
  <c r="H697"/>
  <c r="G697" s="1"/>
  <c r="F697" s="1"/>
  <c r="F696" s="1"/>
  <c r="H695"/>
  <c r="H694"/>
  <c r="H693"/>
  <c r="H692"/>
  <c r="H691"/>
  <c r="H690"/>
  <c r="H688"/>
  <c r="H687"/>
  <c r="H686"/>
  <c r="H685"/>
  <c r="H684"/>
  <c r="H683"/>
  <c r="G683" s="1"/>
  <c r="F683" s="1"/>
  <c r="F682" s="1"/>
  <c r="H681"/>
  <c r="H680"/>
  <c r="H679"/>
  <c r="H678"/>
  <c r="H677"/>
  <c r="H676"/>
  <c r="H674"/>
  <c r="H673"/>
  <c r="H672"/>
  <c r="H671"/>
  <c r="H670"/>
  <c r="H669"/>
  <c r="H667"/>
  <c r="H666"/>
  <c r="H665"/>
  <c r="G665" s="1"/>
  <c r="F665" s="1"/>
  <c r="H664"/>
  <c r="H663"/>
  <c r="H662"/>
  <c r="H660"/>
  <c r="H659"/>
  <c r="H658"/>
  <c r="G658" s="1"/>
  <c r="F658" s="1"/>
  <c r="H657"/>
  <c r="H656"/>
  <c r="H655"/>
  <c r="H653"/>
  <c r="G653" s="1"/>
  <c r="F653" s="1"/>
  <c r="H652"/>
  <c r="H651"/>
  <c r="H650"/>
  <c r="H649"/>
  <c r="H648"/>
  <c r="H646"/>
  <c r="H645"/>
  <c r="H644"/>
  <c r="H643"/>
  <c r="H642"/>
  <c r="H641"/>
  <c r="H639"/>
  <c r="H638"/>
  <c r="F639" s="1"/>
  <c r="G639" s="1"/>
  <c r="H637"/>
  <c r="H636"/>
  <c r="H635"/>
  <c r="H634"/>
  <c r="H631"/>
  <c r="G631" s="1"/>
  <c r="F631" s="1"/>
  <c r="H630"/>
  <c r="H629"/>
  <c r="H628"/>
  <c r="H627"/>
  <c r="H625"/>
  <c r="H624"/>
  <c r="H623"/>
  <c r="H622"/>
  <c r="H621"/>
  <c r="G621" s="1"/>
  <c r="F621" s="1"/>
  <c r="H620"/>
  <c r="H618"/>
  <c r="H617"/>
  <c r="H616"/>
  <c r="H615"/>
  <c r="H937" s="1"/>
  <c r="H614"/>
  <c r="H613"/>
  <c r="H935" s="1"/>
  <c r="H596"/>
  <c r="H595"/>
  <c r="H594"/>
  <c r="H593"/>
  <c r="H592"/>
  <c r="H591"/>
  <c r="H589"/>
  <c r="H588"/>
  <c r="H587"/>
  <c r="H586"/>
  <c r="H585"/>
  <c r="H584"/>
  <c r="H582"/>
  <c r="H581"/>
  <c r="G581" s="1"/>
  <c r="H580"/>
  <c r="H579"/>
  <c r="H578"/>
  <c r="H577"/>
  <c r="H575"/>
  <c r="H574"/>
  <c r="G574" s="1"/>
  <c r="H608"/>
  <c r="H607"/>
  <c r="H426"/>
  <c r="H425"/>
  <c r="H424"/>
  <c r="H423"/>
  <c r="H422"/>
  <c r="H421"/>
  <c r="G421" s="1"/>
  <c r="H419"/>
  <c r="H418"/>
  <c r="H417"/>
  <c r="H416"/>
  <c r="H415"/>
  <c r="H412"/>
  <c r="H411"/>
  <c r="H410"/>
  <c r="H409"/>
  <c r="H408"/>
  <c r="H407"/>
  <c r="H397"/>
  <c r="H396"/>
  <c r="F397" s="1"/>
  <c r="G397" s="1"/>
  <c r="H395"/>
  <c r="H394"/>
  <c r="H393"/>
  <c r="H392"/>
  <c r="H390"/>
  <c r="G390" s="1"/>
  <c r="F390" s="1"/>
  <c r="H389"/>
  <c r="H388"/>
  <c r="H387"/>
  <c r="H386"/>
  <c r="H385"/>
  <c r="H383"/>
  <c r="H382"/>
  <c r="H381"/>
  <c r="H380"/>
  <c r="H379"/>
  <c r="G379" s="1"/>
  <c r="F379" s="1"/>
  <c r="F377" s="1"/>
  <c r="H378"/>
  <c r="H376"/>
  <c r="H404" s="1"/>
  <c r="H375"/>
  <c r="H403" s="1"/>
  <c r="H374"/>
  <c r="H402" s="1"/>
  <c r="H373"/>
  <c r="H401" s="1"/>
  <c r="H372"/>
  <c r="H400" s="1"/>
  <c r="H371"/>
  <c r="H399" s="1"/>
  <c r="H333"/>
  <c r="H332"/>
  <c r="G332" s="1"/>
  <c r="F332" s="1"/>
  <c r="H331"/>
  <c r="H330"/>
  <c r="H329"/>
  <c r="H328"/>
  <c r="H326"/>
  <c r="H325"/>
  <c r="H323"/>
  <c r="G323" s="1"/>
  <c r="F323" s="1"/>
  <c r="H322"/>
  <c r="H321"/>
  <c r="H319"/>
  <c r="H318"/>
  <c r="H317"/>
  <c r="G317" s="1"/>
  <c r="F317" s="1"/>
  <c r="H316"/>
  <c r="H315"/>
  <c r="H314"/>
  <c r="H305"/>
  <c r="H304"/>
  <c r="H303"/>
  <c r="H302"/>
  <c r="H301"/>
  <c r="H300"/>
  <c r="H295"/>
  <c r="G295" s="1"/>
  <c r="F295" s="1"/>
  <c r="H294"/>
  <c r="H293"/>
  <c r="H289"/>
  <c r="H288"/>
  <c r="H287"/>
  <c r="H286"/>
  <c r="H284"/>
  <c r="G284" s="1"/>
  <c r="F284" s="1"/>
  <c r="H283"/>
  <c r="H282"/>
  <c r="H281"/>
  <c r="H280"/>
  <c r="H279"/>
  <c r="H277"/>
  <c r="H276"/>
  <c r="H275"/>
  <c r="H274"/>
  <c r="H273"/>
  <c r="H272"/>
  <c r="H270"/>
  <c r="H269"/>
  <c r="H268"/>
  <c r="H267"/>
  <c r="H266"/>
  <c r="H265"/>
  <c r="H263"/>
  <c r="H262"/>
  <c r="G262" s="1"/>
  <c r="F262" s="1"/>
  <c r="H261"/>
  <c r="H260"/>
  <c r="H259"/>
  <c r="H258"/>
  <c r="H256"/>
  <c r="H255"/>
  <c r="H254"/>
  <c r="H253"/>
  <c r="H252"/>
  <c r="H251"/>
  <c r="H249"/>
  <c r="H248"/>
  <c r="H247"/>
  <c r="H246"/>
  <c r="H245"/>
  <c r="G245" s="1"/>
  <c r="F245" s="1"/>
  <c r="H244"/>
  <c r="H242"/>
  <c r="H241"/>
  <c r="H240"/>
  <c r="H239"/>
  <c r="G239" s="1"/>
  <c r="F239" s="1"/>
  <c r="H238"/>
  <c r="H237"/>
  <c r="H233"/>
  <c r="H232"/>
  <c r="H231"/>
  <c r="F233" s="1"/>
  <c r="H228"/>
  <c r="H227"/>
  <c r="H226"/>
  <c r="H225"/>
  <c r="H224"/>
  <c r="G224" s="1"/>
  <c r="F224" s="1"/>
  <c r="H223"/>
  <c r="H221"/>
  <c r="H220"/>
  <c r="H219"/>
  <c r="G219" s="1"/>
  <c r="F219" s="1"/>
  <c r="H218"/>
  <c r="H217"/>
  <c r="H216"/>
  <c r="H214"/>
  <c r="H213"/>
  <c r="H212"/>
  <c r="H211"/>
  <c r="H210"/>
  <c r="H209"/>
  <c r="G209" s="1"/>
  <c r="H207"/>
  <c r="H206"/>
  <c r="H205"/>
  <c r="H204"/>
  <c r="H203"/>
  <c r="H202"/>
  <c r="H157"/>
  <c r="H156"/>
  <c r="H155"/>
  <c r="H154"/>
  <c r="H153"/>
  <c r="G150"/>
  <c r="F150" s="1"/>
  <c r="H148"/>
  <c r="H147"/>
  <c r="H146"/>
  <c r="H141"/>
  <c r="H140"/>
  <c r="H139"/>
  <c r="H136"/>
  <c r="H135"/>
  <c r="H134"/>
  <c r="H133"/>
  <c r="H132"/>
  <c r="H129"/>
  <c r="H128"/>
  <c r="H127"/>
  <c r="H126"/>
  <c r="H125"/>
  <c r="H122"/>
  <c r="H121"/>
  <c r="H120"/>
  <c r="H118"/>
  <c r="H113"/>
  <c r="H112"/>
  <c r="H111"/>
  <c r="H94"/>
  <c r="H93"/>
  <c r="H92"/>
  <c r="H91"/>
  <c r="H90"/>
  <c r="G90" s="1"/>
  <c r="F90" s="1"/>
  <c r="G89" s="1"/>
  <c r="F89" s="1"/>
  <c r="F88" s="1"/>
  <c r="H66"/>
  <c r="H65"/>
  <c r="H64"/>
  <c r="G64" s="1"/>
  <c r="F64" s="1"/>
  <c r="F60" s="1"/>
  <c r="H63"/>
  <c r="H62"/>
  <c r="H44"/>
  <c r="H43"/>
  <c r="H42"/>
  <c r="H41"/>
  <c r="H38"/>
  <c r="H37"/>
  <c r="G37" s="1"/>
  <c r="F37" s="1"/>
  <c r="H36"/>
  <c r="H35"/>
  <c r="H34"/>
  <c r="H20"/>
  <c r="H22"/>
  <c r="H23"/>
  <c r="H24"/>
  <c r="H364" l="1"/>
  <c r="H366"/>
  <c r="H368"/>
  <c r="H519"/>
  <c r="H521"/>
  <c r="H523"/>
  <c r="H936"/>
  <c r="H938"/>
  <c r="H940"/>
  <c r="H520"/>
  <c r="H522"/>
  <c r="H524"/>
  <c r="H199"/>
  <c r="H197"/>
  <c r="H363"/>
  <c r="H365"/>
  <c r="H367"/>
  <c r="G244"/>
  <c r="F244" s="1"/>
  <c r="F243" s="1"/>
  <c r="G322"/>
  <c r="F322" s="1"/>
  <c r="G673"/>
  <c r="F673" s="1"/>
  <c r="H939"/>
  <c r="N827" s="1"/>
  <c r="H195"/>
  <c r="G119"/>
  <c r="F119" s="1"/>
  <c r="F116" s="1"/>
  <c r="H196"/>
  <c r="N196" s="1"/>
  <c r="N828"/>
  <c r="F421"/>
  <c r="K358"/>
  <c r="G726"/>
  <c r="F726" s="1"/>
  <c r="G733"/>
  <c r="F733" s="1"/>
  <c r="G763"/>
  <c r="F763" s="1"/>
  <c r="G768"/>
  <c r="F768" s="1"/>
  <c r="G876"/>
  <c r="F876" s="1"/>
  <c r="G630"/>
  <c r="F630" s="1"/>
  <c r="H945"/>
  <c r="G648"/>
  <c r="F648" s="1"/>
  <c r="F647" s="1"/>
  <c r="G36"/>
  <c r="F36" s="1"/>
  <c r="G655"/>
  <c r="F655" s="1"/>
  <c r="F654" s="1"/>
  <c r="G149"/>
  <c r="F149" s="1"/>
  <c r="H1315"/>
  <c r="H1317"/>
  <c r="H1319"/>
  <c r="G279"/>
  <c r="F279" s="1"/>
  <c r="F278" s="1"/>
  <c r="E278" s="1"/>
  <c r="G321"/>
  <c r="F321" s="1"/>
  <c r="F320" s="1"/>
  <c r="G389"/>
  <c r="F389" s="1"/>
  <c r="F384" s="1"/>
  <c r="E384" s="1"/>
  <c r="G662"/>
  <c r="F662" s="1"/>
  <c r="F661" s="1"/>
  <c r="H972"/>
  <c r="H974"/>
  <c r="H976"/>
  <c r="H1008"/>
  <c r="H1010"/>
  <c r="H1012"/>
  <c r="H1249"/>
  <c r="H1251"/>
  <c r="H1253"/>
  <c r="H1293"/>
  <c r="H1295"/>
  <c r="H1297"/>
  <c r="H1316"/>
  <c r="H1318"/>
  <c r="H1320"/>
  <c r="G294"/>
  <c r="F294" s="1"/>
  <c r="F292" s="1"/>
  <c r="E292" s="1"/>
  <c r="H973"/>
  <c r="H975"/>
  <c r="H977"/>
  <c r="H1009"/>
  <c r="H1011"/>
  <c r="H1013"/>
  <c r="H1250"/>
  <c r="H1252"/>
  <c r="H1254"/>
  <c r="H1294"/>
  <c r="H1296"/>
  <c r="H1298"/>
  <c r="G218"/>
  <c r="F218" s="1"/>
  <c r="G217" s="1"/>
  <c r="F217" s="1"/>
  <c r="G216" s="1"/>
  <c r="F216" s="1"/>
  <c r="F215" s="1"/>
  <c r="G223"/>
  <c r="F223" s="1"/>
  <c r="F222" s="1"/>
  <c r="G238"/>
  <c r="F238" s="1"/>
  <c r="G237" s="1"/>
  <c r="F237" s="1"/>
  <c r="F236" s="1"/>
  <c r="G258"/>
  <c r="F258" s="1"/>
  <c r="F257" s="1"/>
  <c r="E257" s="1"/>
  <c r="G316"/>
  <c r="F316" s="1"/>
  <c r="G315" s="1"/>
  <c r="F315" s="1"/>
  <c r="G314" s="1"/>
  <c r="F314" s="1"/>
  <c r="F313" s="1"/>
  <c r="G330"/>
  <c r="F330" s="1"/>
  <c r="G329" s="1"/>
  <c r="F329" s="1"/>
  <c r="F327" s="1"/>
  <c r="E327" s="1"/>
  <c r="G620"/>
  <c r="F620" s="1"/>
  <c r="F619" s="1"/>
  <c r="E619" s="1"/>
  <c r="G672"/>
  <c r="F672" s="1"/>
  <c r="G671" s="1"/>
  <c r="F671" s="1"/>
  <c r="G670" s="1"/>
  <c r="F670" s="1"/>
  <c r="G669" s="1"/>
  <c r="F669" s="1"/>
  <c r="F668" s="1"/>
  <c r="G747"/>
  <c r="F747" s="1"/>
  <c r="F745" s="1"/>
  <c r="G757"/>
  <c r="F757" s="1"/>
  <c r="F752" s="1"/>
  <c r="G812"/>
  <c r="F812" s="1"/>
  <c r="F808" s="1"/>
  <c r="E808" s="1"/>
  <c r="G875"/>
  <c r="F875" s="1"/>
  <c r="G874" s="1"/>
  <c r="F874" s="1"/>
  <c r="G873" s="1"/>
  <c r="F873" s="1"/>
  <c r="F871" s="1"/>
  <c r="G20"/>
  <c r="F20" s="1"/>
  <c r="G19" s="1"/>
  <c r="N195"/>
  <c r="F209"/>
  <c r="F208" s="1"/>
  <c r="E208" s="1"/>
  <c r="G208"/>
  <c r="G233"/>
  <c r="F234"/>
  <c r="H605"/>
  <c r="G613"/>
  <c r="F613" s="1"/>
  <c r="F612" s="1"/>
  <c r="G629"/>
  <c r="F629" s="1"/>
  <c r="G628" s="1"/>
  <c r="F628" s="1"/>
  <c r="G627" s="1"/>
  <c r="F627" s="1"/>
  <c r="F626" s="1"/>
  <c r="G718"/>
  <c r="F718" s="1"/>
  <c r="F717" s="1"/>
  <c r="E717" s="1"/>
  <c r="G725"/>
  <c r="F725" s="1"/>
  <c r="G732"/>
  <c r="F732" s="1"/>
  <c r="F731" s="1"/>
  <c r="G762"/>
  <c r="F762" s="1"/>
  <c r="G761" s="1"/>
  <c r="F761" s="1"/>
  <c r="G760" s="1"/>
  <c r="F760" s="1"/>
  <c r="F759" s="1"/>
  <c r="G767"/>
  <c r="F767" s="1"/>
  <c r="F766" s="1"/>
  <c r="G782"/>
  <c r="F782" s="1"/>
  <c r="G781" s="1"/>
  <c r="F781" s="1"/>
  <c r="F780" s="1"/>
  <c r="G789"/>
  <c r="F789" s="1"/>
  <c r="G788" s="1"/>
  <c r="F788" s="1"/>
  <c r="F787" s="1"/>
  <c r="G35"/>
  <c r="F35" s="1"/>
  <c r="G33" s="1"/>
  <c r="F33" s="1"/>
  <c r="F32" s="1"/>
  <c r="H610"/>
  <c r="H606"/>
  <c r="H609"/>
  <c r="H946" s="1"/>
  <c r="K606"/>
  <c r="J943"/>
  <c r="H1346"/>
  <c r="H1348"/>
  <c r="H1349"/>
  <c r="H1338"/>
  <c r="H1341"/>
  <c r="H1339"/>
  <c r="H1342"/>
  <c r="H1340"/>
  <c r="J1345" l="1"/>
  <c r="J1350" s="1"/>
  <c r="I1351" s="1"/>
  <c r="H947"/>
  <c r="F19"/>
  <c r="F18" s="1"/>
  <c r="G18"/>
  <c r="H942"/>
  <c r="N830" s="1"/>
  <c r="H944"/>
  <c r="H943"/>
  <c r="G234"/>
  <c r="F235"/>
  <c r="G235" s="1"/>
  <c r="H1347"/>
  <c r="H1345"/>
  <c r="L22" l="1"/>
  <c r="K22"/>
  <c r="E236"/>
  <c r="K372" l="1"/>
  <c r="K337"/>
  <c r="F179" l="1"/>
  <c r="F180" l="1"/>
  <c r="E179"/>
</calcChain>
</file>

<file path=xl/comments1.xml><?xml version="1.0" encoding="utf-8"?>
<comments xmlns="http://schemas.openxmlformats.org/spreadsheetml/2006/main">
  <authors>
    <author>Автор</author>
  </authors>
  <commentList>
    <comment ref="J49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Автор:
</t>
        </r>
      </text>
    </comment>
    <comment ref="J10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Автор:
</t>
        </r>
      </text>
    </comment>
    <comment ref="C1164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плоскостные
</t>
        </r>
      </text>
    </comment>
    <comment ref="C1165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зал</t>
        </r>
      </text>
    </comment>
  </commentList>
</comments>
</file>

<file path=xl/sharedStrings.xml><?xml version="1.0" encoding="utf-8"?>
<sst xmlns="http://schemas.openxmlformats.org/spreadsheetml/2006/main" count="1746" uniqueCount="384">
  <si>
    <t xml:space="preserve">                                                                </t>
  </si>
  <si>
    <t>№ п/п</t>
  </si>
  <si>
    <t>Наименование объекта</t>
  </si>
  <si>
    <t>мощность объекта</t>
  </si>
  <si>
    <t>Сметная стоимость строительства в ценах 2001 года, тыс.руб.</t>
  </si>
  <si>
    <t>Остаток сметной стоимости на начало года в ценах 2001 года, тыс.рублей</t>
  </si>
  <si>
    <t>Остаток сметной стоимости на начало года в ценах соответствующих лет, тыс.рублей</t>
  </si>
  <si>
    <t>Объем капитальных вложений в ценах соответствующих лет, тыс. рублей</t>
  </si>
  <si>
    <t>всего</t>
  </si>
  <si>
    <t>краевой бюджет</t>
  </si>
  <si>
    <t>бюджет города</t>
  </si>
  <si>
    <t>ОБРАЗОВАНИЕ</t>
  </si>
  <si>
    <t>ЗДРАВООХРАНЕНИЕ</t>
  </si>
  <si>
    <t>КОММУНАЛЬНОЕ СТРОИТЕЛЬСТВО</t>
  </si>
  <si>
    <t>ТРАНСПОРТ</t>
  </si>
  <si>
    <t>КУЛЬТУРА</t>
  </si>
  <si>
    <t>ФИЗИЧЕСКАЯ КУЛЬТУРА И СПОРТ</t>
  </si>
  <si>
    <t>СОЦИАЛЬНАЯ ПОЛИТИКА</t>
  </si>
  <si>
    <t>ЖИЛИЩНОЕ СТРОИТЕЛЬСТВО</t>
  </si>
  <si>
    <t>МОЛОДЕЖНАЯ ПОЛИТИКА</t>
  </si>
  <si>
    <t>НАЦИОНАЛЬНАЯ БЕЗОПАСНОСТЬ И ПРАВООХРАНИТЕЛЬНАЯ ДЕЯТЕЛЬНОСТЬ</t>
  </si>
  <si>
    <t>объект</t>
  </si>
  <si>
    <t>2012-2014</t>
  </si>
  <si>
    <t>Строительство Красноярского городского парка флоры и фауны "Роев ручей"</t>
  </si>
  <si>
    <t>Реконструкция здания специализированного детского кинотеатра "Мечта"</t>
  </si>
  <si>
    <t>2001-2011</t>
  </si>
  <si>
    <t>2013-2014</t>
  </si>
  <si>
    <t>2013-2015</t>
  </si>
  <si>
    <t>2013-2016</t>
  </si>
  <si>
    <t>1000 мест</t>
  </si>
  <si>
    <t>(утвержд.)</t>
  </si>
  <si>
    <t>2013 год</t>
  </si>
  <si>
    <t>2014 год</t>
  </si>
  <si>
    <t>2015 год</t>
  </si>
  <si>
    <t>1322,1м2</t>
  </si>
  <si>
    <t>2007-2010</t>
  </si>
  <si>
    <t>140 мест</t>
  </si>
  <si>
    <t>(ориент.)</t>
  </si>
  <si>
    <t>Общеобразовательная школа в жилом районе Ястынское поле</t>
  </si>
  <si>
    <t xml:space="preserve">120 мест </t>
  </si>
  <si>
    <t>2008-2010</t>
  </si>
  <si>
    <t>2008-2016</t>
  </si>
  <si>
    <t xml:space="preserve">Детский сад по ул.Глинки </t>
  </si>
  <si>
    <t>90 мест</t>
  </si>
  <si>
    <t>2008-2013</t>
  </si>
  <si>
    <t>160 мест</t>
  </si>
  <si>
    <t xml:space="preserve">Детский сад в Октябрьском районе </t>
  </si>
  <si>
    <t>260 мест</t>
  </si>
  <si>
    <t>Детский сад в V мкр. жилого района Слобода Весны</t>
  </si>
  <si>
    <t xml:space="preserve">Детский сад в Железнодорожном районе </t>
  </si>
  <si>
    <t>2008-2011</t>
  </si>
  <si>
    <t>(расчет)</t>
  </si>
  <si>
    <t>Детский сад №1 в VI мкр. жилого массива "Иннокентьевский"</t>
  </si>
  <si>
    <t>2008-2012</t>
  </si>
  <si>
    <t xml:space="preserve">Детский сад в Октябрьском районе (Николаевка, ул. Корнеева-ул. Ленина) </t>
  </si>
  <si>
    <t>2015-2016</t>
  </si>
  <si>
    <t xml:space="preserve">Детский сад в I мкр. жилого района Северный </t>
  </si>
  <si>
    <t>2014-2015</t>
  </si>
  <si>
    <t>Детский сад № 1 в VII мкр. жилого района Покровский</t>
  </si>
  <si>
    <t>500 посещений в смену</t>
  </si>
  <si>
    <t>трубопровод-
700 м.</t>
  </si>
  <si>
    <t xml:space="preserve">2007-2010 </t>
  </si>
  <si>
    <t>2009-2010</t>
  </si>
  <si>
    <t>40 коек круглусут
стационара и 19 коек дневного</t>
  </si>
  <si>
    <t xml:space="preserve">2008-2013 </t>
  </si>
  <si>
    <t>132 койки</t>
  </si>
  <si>
    <t>80 посещений в смену</t>
  </si>
  <si>
    <t>Реконструкция поликлиники в МУЗ «Городская поликлиника №3»</t>
  </si>
  <si>
    <t>335 посещений в смену</t>
  </si>
  <si>
    <t>Поликлиника на 175 посещений в смену по ул. Судостроительная</t>
  </si>
  <si>
    <t>175 посещений в смену</t>
  </si>
  <si>
    <t>Поликлиника на 500 посещений в смену в мкр. Северный</t>
  </si>
  <si>
    <t>200 зрит мест</t>
  </si>
  <si>
    <t>Спортивный зал в Советском районе</t>
  </si>
  <si>
    <t>Реконструкция помещения по адресу 
ул. Микуцкого, 8 под библиотеку (ПИР, реконструкция)</t>
  </si>
  <si>
    <t xml:space="preserve">Оборудование пандусами учреждений социального обслуживания населения </t>
  </si>
  <si>
    <t>100 мест</t>
  </si>
  <si>
    <t>Жилой корпус на 100 мест Красноярский дом - интернат №2 для ветеранов войны и труда</t>
  </si>
  <si>
    <t>2007-2016</t>
  </si>
  <si>
    <t>2007-2012</t>
  </si>
  <si>
    <t>2008-2015</t>
  </si>
  <si>
    <t>S общ.квар. - 10425,24 м2</t>
  </si>
  <si>
    <t>S общ. 
дома-
11 722,7 м2</t>
  </si>
  <si>
    <t>2011-2012</t>
  </si>
  <si>
    <t>2010-2011</t>
  </si>
  <si>
    <t>2011 год</t>
  </si>
  <si>
    <t>2010 год</t>
  </si>
  <si>
    <t>2012 год</t>
  </si>
  <si>
    <t>2012-2013</t>
  </si>
  <si>
    <t>200 з/м</t>
  </si>
  <si>
    <t>Быстровозводимая крытая спортивная площадка, (Октябрьский район, л/б Водник, ул. Ленинградская)</t>
  </si>
  <si>
    <t>2011-2013</t>
  </si>
  <si>
    <t>Тепломагистраль "Северная"</t>
  </si>
  <si>
    <t>теп. - 9 км,
100 Г/кал в час.</t>
  </si>
  <si>
    <t>2002-2010</t>
  </si>
  <si>
    <t>(ц.1991г.)</t>
  </si>
  <si>
    <t>Теплоснабжение 2-х жилых домов 
№1 и №2 пятого участка в Ленинском районе г. Красноярска</t>
  </si>
  <si>
    <t xml:space="preserve">Городское кладбище "Восточное" </t>
  </si>
  <si>
    <t>38,35 га</t>
  </si>
  <si>
    <t>2006-2015</t>
  </si>
  <si>
    <t>Конечные остановочные пункты 
пассажирского транспорта</t>
  </si>
  <si>
    <t>16 ед.</t>
  </si>
  <si>
    <t>2007-2018</t>
  </si>
  <si>
    <t>Автодорога по ул.Чернышевского от ул.Мужества до ул.Караульной</t>
  </si>
  <si>
    <t>2008-2014</t>
  </si>
  <si>
    <t>Автодорога по ул.Линейной от ул.Караульной до ул.Мужества</t>
  </si>
  <si>
    <t>Автодорога по ул.Космонавтов 
от ул.9 Мая до ул.Ястынской</t>
  </si>
  <si>
    <t>Автодорога по ул.Батурина 
от ул.Алексеева до ул. 9 Мая</t>
  </si>
  <si>
    <t>0,07 Гкал/час</t>
  </si>
  <si>
    <t>Расширение территории кладбища Бадалык</t>
  </si>
  <si>
    <t>40 га</t>
  </si>
  <si>
    <t>360 тыс.м3/сут</t>
  </si>
  <si>
    <t>Реконструкция реабилитационного центра для ГУВД по Красноярскому краю</t>
  </si>
  <si>
    <t>Реконструкция здания полка дорожно-постовой службы УВД по г.Красноярску по ул. 2-я Брянская, 59</t>
  </si>
  <si>
    <t xml:space="preserve">Визит-центр на территории природного парка "Ергаки" </t>
  </si>
  <si>
    <t xml:space="preserve">Реконструкция Красноярского дворца молодежи в г. Красноярске 
</t>
  </si>
  <si>
    <t>кр 210000</t>
  </si>
  <si>
    <t>Перечень объектов капитального строительства на 2010-2015 годы</t>
  </si>
  <si>
    <t>тыс. рублей</t>
  </si>
  <si>
    <t>сроки строите-льства</t>
  </si>
  <si>
    <t>Комплекс зданий Советского РУВД 
г. Красноярска</t>
  </si>
  <si>
    <t>Реконструкция поликлиники № 1 в 
МУЗ «Городская детская клиническая больница №5»</t>
  </si>
  <si>
    <t xml:space="preserve">2008-2011 </t>
  </si>
  <si>
    <t xml:space="preserve">2008-2014 </t>
  </si>
  <si>
    <t xml:space="preserve">Строительство подстанции скорой медицинской помощи в Центральном районе </t>
  </si>
  <si>
    <t>3000 кв. метров</t>
  </si>
  <si>
    <t>Реконструкция здания МОУДОД детской музыкальной школы №2 (надстройка второго этажа над концертным залом) (ПИР, реконструкция)</t>
  </si>
  <si>
    <t>Крытый каток с искусственным льдом в Ленинском районе</t>
  </si>
  <si>
    <t xml:space="preserve">Крытый каток с искусственным льдом в Октябрьском районе </t>
  </si>
  <si>
    <t>2011-2014</t>
  </si>
  <si>
    <t>2127 кв. метров</t>
  </si>
  <si>
    <t>Разработка градостроительной документации</t>
  </si>
  <si>
    <t xml:space="preserve">Библиотека на 900 тыс. томов с ректоратом (Сибирский федеральный университет) 
</t>
  </si>
  <si>
    <t>2012-2015</t>
  </si>
  <si>
    <t>Автодорога по ул. Енисейской от 
ул. Мужества до ул. 4-я Дальневосточная</t>
  </si>
  <si>
    <t>2010-2014</t>
  </si>
  <si>
    <t>2007-2011</t>
  </si>
  <si>
    <t>софинансирование</t>
  </si>
  <si>
    <t xml:space="preserve"> </t>
  </si>
  <si>
    <t xml:space="preserve"> Приложение 9</t>
  </si>
  <si>
    <t>Реконструкция гимназии №9 в Железнодорожном районе</t>
  </si>
  <si>
    <t>460 коек</t>
  </si>
  <si>
    <t xml:space="preserve">ВСЕГО ИНВЕСТИЦИЙ: </t>
  </si>
  <si>
    <t>Реконструкция здания пищеблока МУЗ "Городская клиническая больница № 20 им.И.С. Берзона"</t>
  </si>
  <si>
    <t>Реконструкция здания прачечной МУЗ "Городская клиническая больница № 20 им.И.С. Берзона"</t>
  </si>
  <si>
    <t>Автодорога по ул. Енисейской от ул.Березина до ул. Мужества</t>
  </si>
  <si>
    <t>Реконструкция ул.Шахтеров от ул.Молокова до ул.Караульной</t>
  </si>
  <si>
    <t>Пешеходный переход через ул.Белинского</t>
  </si>
  <si>
    <t>Перевод теплоснабжения жилого дома №20а по ул. Прибойной на теплоснабжение от локальной электрокотельной в контейнерном исполнении</t>
  </si>
  <si>
    <t xml:space="preserve">Общеобразовательная школа в VII мкр. жилого массива Северный </t>
  </si>
  <si>
    <t>Детский сад № 1 в микрорайоне Метростроитель</t>
  </si>
  <si>
    <t>Детская поликлиника на 500 пос. в смену в мкр. "Северный"</t>
  </si>
  <si>
    <t>Тепловые сети для поликлиники № 1 и стационара МУЗ "Городская больница №1"</t>
  </si>
  <si>
    <t xml:space="preserve">Специальная общеобразовательная школа-интернат (для слепых и слабовидящих детей) в г.Красноярске 
</t>
  </si>
  <si>
    <t xml:space="preserve">Перинатальный центр в г.Красноярске </t>
  </si>
  <si>
    <t xml:space="preserve">Федеральный центр сердечно-сосудистой хирургии, г.Красноярск </t>
  </si>
  <si>
    <t>Реконструкция МУЗ "Городская детская больница №4"</t>
  </si>
  <si>
    <t>Пешеходный бульвар "Студенческий" от пр.Свободного (ядро кампуса СФУ) до ул.Ак. Киренского</t>
  </si>
  <si>
    <t xml:space="preserve">Спортивный зал гимназии №5 по ул.Семафорной, 195 </t>
  </si>
  <si>
    <t>Расширение правобережного травмпункта МУЗ "Городская клиническая больница № 7" по пр. им. газеты Красноярский рабочий, 48в в г.Красноярске</t>
  </si>
  <si>
    <t>Пристройка к детскому хирургическому корпусу МУЗ «Городская клиническая больница №20 им.И.С.Берзона»</t>
  </si>
  <si>
    <t>Оборудование пандусами муниципальных учреждений здравоохранения г.Красноярска</t>
  </si>
  <si>
    <t>Строительство центра восстановительной медицины и реабилитации в МУЗ «Городская детская клиническая больница №5»</t>
  </si>
  <si>
    <t>Реконструкция помещения прачечной родильного дома под размещение дезкамеры в МУЗ «Городская клиническая больница №20 им. И.С.Берзона»</t>
  </si>
  <si>
    <t>Строительство пищеблока, прачечной, административного корпуса  в МУЗ «Городская клиническая больница №7»</t>
  </si>
  <si>
    <t>Реконструкция травмпункта МУЗ «Городская клиническая больница №7» под размещение отделения восстановительного лечения</t>
  </si>
  <si>
    <t>Корпус № 5 с переходами МУЗ "Городская больница № 4"</t>
  </si>
  <si>
    <t xml:space="preserve"> Жилой дом №3 в квартале 11а жилого района "Покровский"</t>
  </si>
  <si>
    <t xml:space="preserve">Жилой дом №4 в квартале 7б жилого района "Покровский" </t>
  </si>
  <si>
    <t xml:space="preserve">Жилой дом №4 в Октябрьском районе для осуществления переселения граждан из жилых домов, попадающих под снос при строительстве подходов к 4-му мостовому переходу через р.Енисей  </t>
  </si>
  <si>
    <t>Жилой дом №2 в мкрн.Метростроитель</t>
  </si>
  <si>
    <t>Автодорога по ул. Мужества от ул.Шахтеров до ул.Чернышевского</t>
  </si>
  <si>
    <t>Автодорога по ул.Л.Шевцовой от ул.Водянникова до ул. Караульной</t>
  </si>
  <si>
    <t>Автодорога по ул.Линейной от ул.Березина до ул.Мужества</t>
  </si>
  <si>
    <t>Реконструкция автодороги от ул.Воронова до ул. Краснодарской</t>
  </si>
  <si>
    <t>Реконструкция ул.Шахтеров (от ул.Степана Разина до ул.Молокова)</t>
  </si>
  <si>
    <t>Пешеходный переход по пр.Свободному - ул.Маерчака</t>
  </si>
  <si>
    <t>Инженерная подготовка территории для размещения объекта "Автодорога по ул.Шевцовой от ул.Водянникова до ул.Караульной</t>
  </si>
  <si>
    <t>Строительство ул.Алексеева от ул.Авиаторов до ул.Урванцева</t>
  </si>
  <si>
    <t>Строительство ул.Светлогорской на участке от пр. Комсомольский до ул. Шумяцкого и ул. Шумяцкого на участке от ул. 9 Мая до ул.Светлогорской</t>
  </si>
  <si>
    <t>Пешеходный переход через ул.Партизана Железняка в районе жилого дома №50</t>
  </si>
  <si>
    <t>Пешеходный переход через ул.Партизана Железняка в районе администрации Советского района</t>
  </si>
  <si>
    <t>Автодорога по ул. 4-я Дальневосточная от ул.Шахтеров до ул.Л.Шевцовой</t>
  </si>
  <si>
    <t>Строительство ул.Водопьянова от        ул.9 Мая до ул. Молокова</t>
  </si>
  <si>
    <t>Путепровод через железную дорогу с транспортной развязкой в мкр.Северный на улице от Северного шоссе до ул. Авиаторов</t>
  </si>
  <si>
    <t xml:space="preserve">Реконструкция ул.Шахтеров от ул.Караульной до железнодорожного переезда (III очередь) </t>
  </si>
  <si>
    <t>ПО АИП ГОРОДА:</t>
  </si>
  <si>
    <t xml:space="preserve">Строительство отдельно стоящего здания хозяйственного назначения для МУ  "Социально-реабилитационный центр для несовершеннолетних  Ленинского района г.Красноярска" </t>
  </si>
  <si>
    <t xml:space="preserve">Жилой дом №1 в Октябрьском районе для осуществления переселения граждан из жилых домов, попадающих под снос при строительстве подходов к 4-му мостовому переходу через р.Енисей  </t>
  </si>
  <si>
    <t xml:space="preserve">Учебно-лабораторный корпус Института нефти и газа (Сибирский федеральный университет) 
</t>
  </si>
  <si>
    <t xml:space="preserve">Реконструкция и расширение Красноярского краевого онкологического диспансера в г.Красноярске </t>
  </si>
  <si>
    <t>Пристройка к онкологическому корпусу УП-288/18 по ул. Маерчака в г.Красноярске</t>
  </si>
  <si>
    <t xml:space="preserve">Реконструкция Красноярской краевой филармонии, г.Красноярск </t>
  </si>
  <si>
    <t xml:space="preserve">Краевой государственный архив (8-этажная пристройка к существующему зданию краевого архива) по ул. Робеспьера,4 в г.Красноярске </t>
  </si>
  <si>
    <t>ВНЕ АИП ГОРОДА:</t>
  </si>
  <si>
    <t>Всего по АИП:</t>
  </si>
  <si>
    <t xml:space="preserve">2011 год </t>
  </si>
  <si>
    <t>Всего по объектам вне АИП:</t>
  </si>
  <si>
    <t xml:space="preserve">к Программе социально-экономического развития города Красноярска до 2020 года 
</t>
  </si>
  <si>
    <t>Реконструкция детского сада № 330 по ул.Сергея Лазо, 28а</t>
  </si>
  <si>
    <t>Оборудование пандусами муниципальных учреждений образования г.Красноярска</t>
  </si>
  <si>
    <t>Общеобразовательная школа в VI мкр. Жилого массива "Иннокентьевский"</t>
  </si>
  <si>
    <t xml:space="preserve">Реконструкция здания МУ "Научно-практический центр спортивной медицины" </t>
  </si>
  <si>
    <t>Приобретение в муниципальную собственность доли в праве собственности на объект капитального строительства "Жилой дом №3 в квартале 11а жилого района "Покровский"</t>
  </si>
  <si>
    <t xml:space="preserve"> Жилой дом № 1 в квартале 11а жилого района "Покровский"</t>
  </si>
  <si>
    <t>Ливневая канализация жилого района "Ботанический"</t>
  </si>
  <si>
    <t>Расширение тепличного хозяйства муниципального предприятия "Совхоз "Октябрьский"</t>
  </si>
  <si>
    <t>Инженерные сети в Советском районе</t>
  </si>
  <si>
    <t>Создание тепличного хозяйства МП ДРСП Ленинского района</t>
  </si>
  <si>
    <t>Реконструкция ул. Взлетная от ул. Весны до ул. Шахтеров (участок дороги улицы №6 VII мкр. Аэропорт)</t>
  </si>
  <si>
    <t>Автодорога в микрорайоне "Утиный плес"</t>
  </si>
  <si>
    <t>Строительство автодороги 
в микрорайоне "Кразовский"</t>
  </si>
  <si>
    <t>Реконструкция автодороги по ул. Свердловская от ул. Матросова до границы г. Красноярска
(с транспортной развязкой ул. Свердловская- ул. Матросова-ул. Семафорная)</t>
  </si>
  <si>
    <t>Приобретение в муниципальную собственность доли в праве собственности на объект капитального строительства "Пешеходный переход по пр. Свободному - 
ул. Маерчака"</t>
  </si>
  <si>
    <t>Всего по отрасли "Образование"</t>
  </si>
  <si>
    <t xml:space="preserve">2010 год   </t>
  </si>
  <si>
    <t xml:space="preserve">2011 год  </t>
  </si>
  <si>
    <t xml:space="preserve">2012 год    </t>
  </si>
  <si>
    <t>Реконструкция здания комбината питания по ул.Железнодорожников, 18а</t>
  </si>
  <si>
    <t>Реконструкция здания комбината питания по ул.Парашютная, 14а</t>
  </si>
  <si>
    <t>Приобретение в муниципальную собственность доли объекта капитального строительства "Детский сад в VII мкр. Северного жилого массива в городе Красноярске" у ООО "Управляющая строительная компания "Сибиряк"</t>
  </si>
  <si>
    <t>Всего по отрасли "Здравоохранение"</t>
  </si>
  <si>
    <t>Всего по отрасли "Культура"</t>
  </si>
  <si>
    <t>Всего по отрасли "Физическая культура и спорт"</t>
  </si>
  <si>
    <t>Всего по отрасли "Социальная политика"</t>
  </si>
  <si>
    <t>2010-2015</t>
  </si>
  <si>
    <t>Общеобразовательная школа в VII мкр. жилого района "Покровский"</t>
  </si>
  <si>
    <t>Детский сад в квартале 11а жилого района "Покровский"</t>
  </si>
  <si>
    <t>165 мест</t>
  </si>
  <si>
    <t>Реконструкция здания бывшего кинотеатра "Родина" под спортивный зал МОУДОД "СДЮСШОР по греко-римской борьбе"</t>
  </si>
  <si>
    <t>20 пандусов</t>
  </si>
  <si>
    <t>66 пандусов</t>
  </si>
  <si>
    <t xml:space="preserve">2010-2012 </t>
  </si>
  <si>
    <t>1331,8 
кв. метров,  150 пос/смену</t>
  </si>
  <si>
    <t>1254,9 м2</t>
  </si>
  <si>
    <t>1656,0 м2</t>
  </si>
  <si>
    <t>220 пос/сутки</t>
  </si>
  <si>
    <t>800м2</t>
  </si>
  <si>
    <t>2002-2014</t>
  </si>
  <si>
    <t>220 мест</t>
  </si>
  <si>
    <t>228 м2</t>
  </si>
  <si>
    <t>S общ.квар. - 12670,7 м2</t>
  </si>
  <si>
    <t>S общ. 
дома-
9700,0
м2</t>
  </si>
  <si>
    <t>Sобщая квартир                     12 670,0 м2</t>
  </si>
  <si>
    <t>S общ.квар. - 10425,2 м2</t>
  </si>
  <si>
    <t>протяж.-1,094 км,
нагрузка -0,752 Гкал/час</t>
  </si>
  <si>
    <t>2006-2014</t>
  </si>
  <si>
    <t>0,278 км</t>
  </si>
  <si>
    <t>2009-2013</t>
  </si>
  <si>
    <t>2007 -2014</t>
  </si>
  <si>
    <t>0,858 км</t>
  </si>
  <si>
    <t>0,042 км</t>
  </si>
  <si>
    <t>1,768 км</t>
  </si>
  <si>
    <t>1,190 км</t>
  </si>
  <si>
    <t>1,434 км</t>
  </si>
  <si>
    <t>0,443 км</t>
  </si>
  <si>
    <t>2009-2012</t>
  </si>
  <si>
    <t>1,570 км</t>
  </si>
  <si>
    <t>0,5 км</t>
  </si>
  <si>
    <t>1,1 км</t>
  </si>
  <si>
    <t>1,4 км</t>
  </si>
  <si>
    <t>1,2 км</t>
  </si>
  <si>
    <t>4,0 км</t>
  </si>
  <si>
    <t>Строительство автодороги 
в микрорайоне "Вторичные ресурсы"</t>
  </si>
  <si>
    <t>10 км</t>
  </si>
  <si>
    <t>3,8 км</t>
  </si>
  <si>
    <t>1,06 га</t>
  </si>
  <si>
    <t>Всего по отрасли "Жилищное строительство"</t>
  </si>
  <si>
    <t>1,22 км</t>
  </si>
  <si>
    <t>1,3км</t>
  </si>
  <si>
    <t>0,35 км</t>
  </si>
  <si>
    <t>1,9 км</t>
  </si>
  <si>
    <t>2006-2010</t>
  </si>
  <si>
    <t>1,3 км</t>
  </si>
  <si>
    <t>1,23 км</t>
  </si>
  <si>
    <t xml:space="preserve">0,87 км
</t>
  </si>
  <si>
    <t>153 п.м</t>
  </si>
  <si>
    <t>37,56 п.м</t>
  </si>
  <si>
    <t>2,8 км</t>
  </si>
  <si>
    <t>Всего по отрасли "Коммунальное строительство"</t>
  </si>
  <si>
    <t>53 п.м.</t>
  </si>
  <si>
    <t>2007-2015</t>
  </si>
  <si>
    <t>1,86км</t>
  </si>
  <si>
    <t>Ливневая канализация с очистными сооружениями в районе СФУ</t>
  </si>
  <si>
    <t>1,5 км</t>
  </si>
  <si>
    <t>(ориентир)</t>
  </si>
  <si>
    <t>(ориент)</t>
  </si>
  <si>
    <t>2002-2015</t>
  </si>
  <si>
    <t>2014-2016</t>
  </si>
  <si>
    <t>2010-2017</t>
  </si>
  <si>
    <t>2009-2015</t>
  </si>
  <si>
    <t>2011-2016</t>
  </si>
  <si>
    <t>14 проектов</t>
  </si>
  <si>
    <t>2005-2010</t>
  </si>
  <si>
    <t>2007 - 2020</t>
  </si>
  <si>
    <t>300 пос/см</t>
  </si>
  <si>
    <t xml:space="preserve">2007-2011 </t>
  </si>
  <si>
    <t xml:space="preserve">2008-2018 </t>
  </si>
  <si>
    <t xml:space="preserve">2008-2015 </t>
  </si>
  <si>
    <t>2008-2018</t>
  </si>
  <si>
    <t>2008- 2015</t>
  </si>
  <si>
    <t>2008- 2019</t>
  </si>
  <si>
    <t>438000 порций в год</t>
  </si>
  <si>
    <t>25500 кг белья в год</t>
  </si>
  <si>
    <t>25 тонн/сутки перерабтка сырья</t>
  </si>
  <si>
    <t>ПСД 
не в полном объеме</t>
  </si>
  <si>
    <t>2008-2020</t>
  </si>
  <si>
    <t>Строительство ул. Абытаевской от 
ул. 4-я Дальневосточная до ул. Шахтеров</t>
  </si>
  <si>
    <t>2010-2012</t>
  </si>
  <si>
    <t>2011-2015</t>
  </si>
  <si>
    <t>8499 тыс.м3/  год</t>
  </si>
  <si>
    <t>Строительство здания решеток на Левобережных очистных сооружениях г. Красноярска</t>
  </si>
  <si>
    <t>Всего по отрасли "Транспорт"</t>
  </si>
  <si>
    <t>Всего по отрасли "Национальная безопасность и правоохранительная деятельность"</t>
  </si>
  <si>
    <t>Всего по отрасли "Молодежная политика"</t>
  </si>
  <si>
    <t>2008-2019</t>
  </si>
  <si>
    <t>Строительство детской больницы на 500 коек</t>
  </si>
  <si>
    <t>500 коек</t>
  </si>
  <si>
    <t>2014-2020</t>
  </si>
  <si>
    <t>Реконструкция операционного блока с пристройкой МБУЗ "Городская клиническая больница №6 им Н.С. Карповича"</t>
  </si>
  <si>
    <t>12 операционных</t>
  </si>
  <si>
    <t>2014-2017</t>
  </si>
  <si>
    <t>Обеззараживание очищенных сточных вод на левобережных очистных сооружениях г.Красноярска</t>
  </si>
  <si>
    <t>380 тыс.м3/сут</t>
  </si>
  <si>
    <t>поправки Трушкова</t>
  </si>
  <si>
    <t>Реконструкция Красноярского драматического театра им. А.С. Пушкина</t>
  </si>
  <si>
    <t>Строительство повысительной насосной станции  водоснабжения жилого района "Покровский" в г.Красноярске</t>
  </si>
  <si>
    <t>Объемы инвестиций, необеспеченные собственными  доходами бюджета города</t>
  </si>
  <si>
    <t>Быстровозводимая крытая спортивная площадка, (Кировский район, ул.Семафорная, 357, Ст. "Водник")</t>
  </si>
  <si>
    <t xml:space="preserve">2014 год   </t>
  </si>
  <si>
    <t xml:space="preserve">2015 год   </t>
  </si>
  <si>
    <t>Быстровозводимая крытая спортивная площадка, (Свердловский район, Пашенный, ул. Складская)</t>
  </si>
  <si>
    <t>Физкультурно-спортивный центр со спортивным залом (Свердловский район, ул.Базайская, 72 а)</t>
  </si>
  <si>
    <t>Физкультурно-спортивный центр со спортивным залом (акробатика), (Ленинский район, ул.Малаховская, 5а, СК "Спутник")</t>
  </si>
  <si>
    <t>Крытый каток с искусственным льдом, (Свердловский район, ул.Стадионная, 1, Ст. ДОК)</t>
  </si>
  <si>
    <t>Физкультурно-спортивный центр с бассейном (Свердловский район, пер.Афонтовский)</t>
  </si>
  <si>
    <t xml:space="preserve">Физкультурно-спортивный центр с бассейном (Советский  район, ул.Новгородская, 7)
</t>
  </si>
  <si>
    <t>1008 кв.м</t>
  </si>
  <si>
    <t>Крытый каток с искусственным льдом, (Октябрьский район, ул.Высотная, 2а, ст."Энергия")</t>
  </si>
  <si>
    <t>Физкультурно-спортивный центр со спортивным залом в Кировском районе, ДК "Кировский"</t>
  </si>
  <si>
    <t>Реконструкция школы высшего спортивного мастерства по видам борьбы им. Д.М. Миндиашвили в г. Красноярске</t>
  </si>
  <si>
    <t>до 2010</t>
  </si>
  <si>
    <t>до 2011</t>
  </si>
  <si>
    <t xml:space="preserve">  </t>
  </si>
  <si>
    <t>Реконструкция Центрального стадиона в г.Красноярске (противоаварийные работы)</t>
  </si>
  <si>
    <t>Крытый каток в г. Красноярске (Кировский р-н, ул. Семафорная, 357, ст. Водник)</t>
  </si>
  <si>
    <t>до 2014</t>
  </si>
  <si>
    <t>Объекты для Спортивного краевого государственного учреждения "Академия биатлона"</t>
  </si>
  <si>
    <t>до 2012</t>
  </si>
  <si>
    <t>Инженерные сети и подъездная дорога для объектов СКГУ "Академия биатлона"</t>
  </si>
  <si>
    <t>Инженерные сети к ледовому дворцу на 2500 - 3000 зрителей в г.Красноярске</t>
  </si>
  <si>
    <t>Легкоатлетический манеж в г. Красноярске</t>
  </si>
  <si>
    <t xml:space="preserve">2013 год   </t>
  </si>
  <si>
    <t>ФиС</t>
  </si>
  <si>
    <t>Строительство поликлиники на 900 посещений в смену в жилом районе "Покровский"</t>
  </si>
  <si>
    <t>900 пос./смену</t>
  </si>
  <si>
    <t>15 пандусов</t>
  </si>
  <si>
    <t xml:space="preserve">Приложение №8                                                                                         к Программе социально-экономического развития                             города Красноярска  до 2020 года </t>
  </si>
  <si>
    <t>Строительство инженерной инфраструктуры, предусмотренной региональным инвестиционным проектом "Строительство малоэтажного жилья и коммунальной, энергетической, транспортной инфраструктуры района "Новаленд", разработка проектно-сметной и разрешительной документации</t>
  </si>
  <si>
    <t>Строительство нового центра электропитания - ПС 110/10 кВ "Содружество" с питающими ЛЭП 110кВ, предусмотренных региональным инвестиционным проектом "Строительство малоэтажного жилья и коммунальной, энергетической, транспортной инфраструктуры района "Новаленд"</t>
  </si>
  <si>
    <t>Поддержание подземных горных выработок первой линии метрополитена в безопасном состоянии</t>
  </si>
  <si>
    <t>Реконструкция ул. Белинского с транспортной развязкой в г.Красноярске</t>
  </si>
  <si>
    <t>S общ. дома-
16 445,0 
м2</t>
  </si>
  <si>
    <t>Всего по отрасли "Образование" на 2011-2015 гг</t>
  </si>
  <si>
    <r>
      <t>361,4 м</t>
    </r>
    <r>
      <rPr>
        <vertAlign val="superscript"/>
        <sz val="10"/>
        <color rgb="FF00B050"/>
        <rFont val="Times New Roman"/>
        <family val="1"/>
        <charset val="204"/>
      </rPr>
      <t>2</t>
    </r>
  </si>
  <si>
    <r>
      <t>S общ.
 4200 м</t>
    </r>
    <r>
      <rPr>
        <vertAlign val="superscript"/>
        <sz val="10"/>
        <color rgb="FFFF0000"/>
        <rFont val="Times New Roman"/>
        <family val="1"/>
        <charset val="204"/>
      </rPr>
      <t>2</t>
    </r>
  </si>
  <si>
    <t>2007-2014</t>
  </si>
  <si>
    <t>Детский сад №1 в микрорайоне Ястынское поле</t>
  </si>
  <si>
    <t>Детский сад по пр.Металлургов, 9б</t>
  </si>
  <si>
    <t>Детский сад по пр.Металлургов, 15а</t>
  </si>
  <si>
    <t>Строительство трибун, подтрибунных помещений МОУДОД "СДЮСШОР "Рассвет" (проектные работы, строительство)</t>
  </si>
  <si>
    <t>Быстровозводимая крытая спортивная площадка, (Октябрьский район, ул.Стасовой, 67, о/л Радуга)</t>
  </si>
  <si>
    <t>Строительство туристической базы в природном заповеднике "Ергаки" Ермаковского района Красноярского края</t>
  </si>
  <si>
    <t>Реконструкция здания манежа по ул. Юности,18 (проектные работы, реконструкция)</t>
  </si>
  <si>
    <t>Физкультурно-спортивный ценир со спортивным залом, Центральный район, о.Отдыха, КУТОР</t>
  </si>
  <si>
    <t>Физкультурно-спортивный центр со спортивным залом в Академгородке г. Красноярска</t>
  </si>
  <si>
    <t>Ледовый дворец на 2500 - 3000 зрителей в г. Красноярске</t>
  </si>
  <si>
    <t>Физкультурно-спортивный центр со спортивным залом в г. Красноярске (ул. Авиаторов-Молокова, баскетбол)</t>
  </si>
  <si>
    <t>Строительство футбольного манежа в г. Красноярске (спорткомплекс "Металлург")</t>
  </si>
  <si>
    <t>Реконструкция дворца спорта "Сокол" в г. Красноярске</t>
  </si>
  <si>
    <t>Реконструкция стадиона "Авангард" в г. Красноярске</t>
  </si>
  <si>
    <t>Академия зимних видов спорта (Николаевская сопка, г.Красноярск)</t>
  </si>
  <si>
    <t>Учебный корпус Красноярского училища (техникум) олимпийского резерва</t>
  </si>
  <si>
    <t>Реконструкция нежилых помещений №312,313 в жилом доме по ул. Толстого, 17 под женскую консультацию Железнодорожного района                                                 г. Красноярска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</si>
</sst>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0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i/>
      <sz val="12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Calibri"/>
      <family val="2"/>
      <charset val="204"/>
    </font>
    <font>
      <sz val="10"/>
      <color theme="0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charset val="204"/>
    </font>
    <font>
      <sz val="12"/>
      <color rgb="FF00B050"/>
      <name val="Times New Roman"/>
      <family val="1"/>
      <charset val="204"/>
    </font>
    <font>
      <sz val="12"/>
      <color rgb="FF00B050"/>
      <name val="Calibri"/>
      <family val="2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theme="5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00B050"/>
      <name val="Times New Roman"/>
      <family val="1"/>
      <charset val="204"/>
    </font>
    <font>
      <sz val="10"/>
      <color rgb="FF0066FF"/>
      <name val="Times New Roman"/>
      <family val="1"/>
      <charset val="204"/>
    </font>
    <font>
      <sz val="10"/>
      <color rgb="FFFF0000"/>
      <name val="Calibri"/>
      <family val="2"/>
      <charset val="204"/>
    </font>
    <font>
      <vertAlign val="superscript"/>
      <sz val="10"/>
      <color rgb="FF00B050"/>
      <name val="Times New Roman"/>
      <family val="1"/>
      <charset val="204"/>
    </font>
    <font>
      <vertAlign val="superscript"/>
      <sz val="10"/>
      <color rgb="FFFF0000"/>
      <name val="Times New Roman"/>
      <family val="1"/>
      <charset val="204"/>
    </font>
    <font>
      <sz val="10"/>
      <name val="Calibri"/>
      <family val="2"/>
      <charset val="204"/>
    </font>
    <font>
      <sz val="10"/>
      <color rgb="FF00B050"/>
      <name val="Calibri"/>
      <family val="2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8" fillId="0" borderId="0"/>
    <xf numFmtId="0" fontId="6" fillId="0" borderId="0"/>
  </cellStyleXfs>
  <cellXfs count="409">
    <xf numFmtId="0" fontId="0" fillId="0" borderId="0" xfId="0"/>
    <xf numFmtId="0" fontId="7" fillId="0" borderId="0" xfId="0" applyFont="1"/>
    <xf numFmtId="0" fontId="3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3" fillId="2" borderId="0" xfId="1" applyFont="1" applyFill="1" applyAlignment="1">
      <alignment vertical="top" wrapText="1"/>
    </xf>
    <xf numFmtId="0" fontId="7" fillId="0" borderId="0" xfId="0" applyFont="1" applyAlignment="1">
      <alignment horizontal="right"/>
    </xf>
    <xf numFmtId="0" fontId="4" fillId="2" borderId="0" xfId="1" applyFont="1" applyFill="1" applyAlignment="1">
      <alignment horizontal="center"/>
    </xf>
    <xf numFmtId="0" fontId="4" fillId="2" borderId="0" xfId="1" applyFont="1" applyFill="1"/>
    <xf numFmtId="0" fontId="17" fillId="2" borderId="0" xfId="0" applyFont="1" applyFill="1"/>
    <xf numFmtId="0" fontId="7" fillId="2" borderId="0" xfId="0" applyFont="1" applyFill="1"/>
    <xf numFmtId="0" fontId="4" fillId="2" borderId="0" xfId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13" fillId="2" borderId="0" xfId="0" applyFont="1" applyFill="1"/>
    <xf numFmtId="0" fontId="14" fillId="2" borderId="0" xfId="0" applyFont="1" applyFill="1"/>
    <xf numFmtId="0" fontId="2" fillId="2" borderId="0" xfId="1" applyFont="1" applyFill="1" applyBorder="1" applyAlignment="1">
      <alignment vertical="top" wrapText="1"/>
    </xf>
    <xf numFmtId="0" fontId="11" fillId="2" borderId="0" xfId="3" applyFont="1" applyFill="1" applyAlignment="1">
      <alignment vertical="top" wrapText="1"/>
    </xf>
    <xf numFmtId="4" fontId="11" fillId="2" borderId="0" xfId="3" applyNumberFormat="1" applyFont="1" applyFill="1" applyAlignment="1">
      <alignment vertical="top" wrapText="1"/>
    </xf>
    <xf numFmtId="0" fontId="9" fillId="2" borderId="0" xfId="3" applyFont="1" applyFill="1" applyAlignment="1">
      <alignment vertical="top" wrapText="1"/>
    </xf>
    <xf numFmtId="0" fontId="10" fillId="2" borderId="0" xfId="3" applyFont="1" applyFill="1" applyAlignment="1">
      <alignment vertical="top" wrapText="1"/>
    </xf>
    <xf numFmtId="0" fontId="3" fillId="2" borderId="0" xfId="1" applyFont="1" applyFill="1"/>
    <xf numFmtId="0" fontId="3" fillId="2" borderId="0" xfId="0" applyFont="1" applyFill="1"/>
    <xf numFmtId="0" fontId="4" fillId="2" borderId="0" xfId="0" applyFont="1" applyFill="1" applyAlignment="1">
      <alignment vertical="top" wrapText="1"/>
    </xf>
    <xf numFmtId="0" fontId="0" fillId="2" borderId="0" xfId="0" applyFont="1" applyFill="1"/>
    <xf numFmtId="0" fontId="0" fillId="2" borderId="0" xfId="0" applyFill="1"/>
    <xf numFmtId="0" fontId="15" fillId="2" borderId="0" xfId="0" applyFont="1" applyFill="1"/>
    <xf numFmtId="0" fontId="7" fillId="2" borderId="0" xfId="0" applyFont="1" applyFill="1" applyBorder="1"/>
    <xf numFmtId="0" fontId="7" fillId="0" borderId="0" xfId="0" applyFont="1" applyBorder="1"/>
    <xf numFmtId="0" fontId="20" fillId="2" borderId="0" xfId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" xfId="3" applyFont="1" applyFill="1" applyBorder="1" applyAlignment="1">
      <alignment horizontal="center" vertical="top" wrapText="1"/>
    </xf>
    <xf numFmtId="0" fontId="9" fillId="0" borderId="0" xfId="3" applyFont="1" applyFill="1" applyAlignment="1">
      <alignment vertical="top" wrapText="1"/>
    </xf>
    <xf numFmtId="164" fontId="9" fillId="0" borderId="0" xfId="3" applyNumberFormat="1" applyFont="1" applyFill="1" applyAlignment="1">
      <alignment vertical="top" wrapText="1"/>
    </xf>
    <xf numFmtId="0" fontId="3" fillId="4" borderId="0" xfId="0" applyFont="1" applyFill="1"/>
    <xf numFmtId="0" fontId="7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2" fontId="7" fillId="0" borderId="0" xfId="0" applyNumberFormat="1" applyFont="1"/>
    <xf numFmtId="0" fontId="19" fillId="2" borderId="0" xfId="0" applyFont="1" applyFill="1"/>
    <xf numFmtId="0" fontId="3" fillId="2" borderId="0" xfId="3" applyFont="1" applyFill="1" applyAlignment="1">
      <alignment vertical="top" wrapText="1"/>
    </xf>
    <xf numFmtId="0" fontId="9" fillId="3" borderId="0" xfId="3" applyFont="1" applyFill="1" applyAlignment="1">
      <alignment vertical="top" wrapText="1"/>
    </xf>
    <xf numFmtId="0" fontId="10" fillId="3" borderId="0" xfId="3" applyFont="1" applyFill="1" applyAlignment="1">
      <alignment vertical="top" wrapText="1"/>
    </xf>
    <xf numFmtId="0" fontId="16" fillId="2" borderId="0" xfId="1" applyFont="1" applyFill="1" applyAlignment="1">
      <alignment horizontal="left" vertical="top" wrapText="1"/>
    </xf>
    <xf numFmtId="0" fontId="0" fillId="2" borderId="0" xfId="0" applyFont="1" applyFill="1" applyAlignment="1">
      <alignment vertical="top" wrapText="1"/>
    </xf>
    <xf numFmtId="164" fontId="9" fillId="0" borderId="1" xfId="0" applyNumberFormat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center" wrapText="1"/>
    </xf>
    <xf numFmtId="0" fontId="5" fillId="0" borderId="1" xfId="3" applyFont="1" applyFill="1" applyBorder="1" applyAlignment="1">
      <alignment horizontal="center" vertical="top" wrapText="1"/>
    </xf>
    <xf numFmtId="164" fontId="5" fillId="0" borderId="1" xfId="3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0" fontId="5" fillId="0" borderId="0" xfId="3" applyFont="1" applyFill="1" applyAlignment="1">
      <alignment vertical="top" wrapText="1"/>
    </xf>
    <xf numFmtId="164" fontId="4" fillId="0" borderId="1" xfId="0" applyNumberFormat="1" applyFont="1" applyFill="1" applyBorder="1" applyAlignment="1">
      <alignment horizontal="right" vertical="top" wrapText="1"/>
    </xf>
    <xf numFmtId="164" fontId="4" fillId="0" borderId="1" xfId="0" applyNumberFormat="1" applyFont="1" applyFill="1" applyBorder="1" applyAlignment="1">
      <alignment horizontal="right" vertical="top"/>
    </xf>
    <xf numFmtId="164" fontId="4" fillId="0" borderId="1" xfId="1" applyNumberFormat="1" applyFont="1" applyFill="1" applyBorder="1" applyAlignment="1">
      <alignment horizontal="right" vertical="top" wrapText="1"/>
    </xf>
    <xf numFmtId="164" fontId="4" fillId="0" borderId="1" xfId="1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13" fillId="0" borderId="0" xfId="0" applyFont="1" applyFill="1"/>
    <xf numFmtId="0" fontId="13" fillId="0" borderId="0" xfId="0" applyFont="1" applyFill="1" applyBorder="1"/>
    <xf numFmtId="0" fontId="3" fillId="0" borderId="3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7" fillId="0" borderId="0" xfId="0" applyFont="1" applyFill="1" applyBorder="1"/>
    <xf numFmtId="0" fontId="4" fillId="0" borderId="3" xfId="1" applyFont="1" applyFill="1" applyBorder="1" applyAlignment="1">
      <alignment horizontal="right" vertical="center"/>
    </xf>
    <xf numFmtId="164" fontId="4" fillId="0" borderId="3" xfId="1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justify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top" wrapText="1"/>
    </xf>
    <xf numFmtId="1" fontId="3" fillId="0" borderId="6" xfId="0" applyNumberFormat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 wrapText="1"/>
    </xf>
    <xf numFmtId="0" fontId="3" fillId="0" borderId="0" xfId="1" applyFont="1" applyFill="1" applyAlignment="1">
      <alignment vertical="top" wrapText="1"/>
    </xf>
    <xf numFmtId="164" fontId="21" fillId="0" borderId="1" xfId="1" applyNumberFormat="1" applyFont="1" applyFill="1" applyBorder="1" applyAlignment="1">
      <alignment horizontal="right" vertical="center"/>
    </xf>
    <xf numFmtId="164" fontId="22" fillId="0" borderId="1" xfId="1" applyNumberFormat="1" applyFont="1" applyFill="1" applyBorder="1" applyAlignment="1">
      <alignment horizontal="center" vertical="center"/>
    </xf>
    <xf numFmtId="164" fontId="22" fillId="0" borderId="1" xfId="1" applyNumberFormat="1" applyFont="1" applyFill="1" applyBorder="1" applyAlignment="1">
      <alignment horizontal="right" vertical="center"/>
    </xf>
    <xf numFmtId="164" fontId="24" fillId="0" borderId="1" xfId="1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164" fontId="24" fillId="0" borderId="1" xfId="1" applyNumberFormat="1" applyFont="1" applyFill="1" applyBorder="1" applyAlignment="1">
      <alignment vertical="center" wrapText="1"/>
    </xf>
    <xf numFmtId="164" fontId="24" fillId="0" borderId="1" xfId="1" applyNumberFormat="1" applyFont="1" applyFill="1" applyBorder="1" applyAlignment="1">
      <alignment horizontal="center" vertical="center"/>
    </xf>
    <xf numFmtId="164" fontId="24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164" fontId="22" fillId="0" borderId="1" xfId="1" applyNumberFormat="1" applyFont="1" applyFill="1" applyBorder="1" applyAlignment="1">
      <alignment horizontal="right" vertical="center" wrapText="1"/>
    </xf>
    <xf numFmtId="0" fontId="3" fillId="0" borderId="6" xfId="1" applyFont="1" applyFill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164" fontId="21" fillId="0" borderId="1" xfId="1" applyNumberFormat="1" applyFont="1" applyFill="1" applyBorder="1" applyAlignment="1">
      <alignment horizontal="center" vertical="center"/>
    </xf>
    <xf numFmtId="164" fontId="21" fillId="0" borderId="1" xfId="1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164" fontId="22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5" fillId="0" borderId="0" xfId="3" applyNumberFormat="1" applyFont="1" applyFill="1" applyBorder="1" applyAlignment="1">
      <alignment vertical="top" wrapText="1"/>
    </xf>
    <xf numFmtId="4" fontId="5" fillId="0" borderId="0" xfId="3" applyNumberFormat="1" applyFont="1" applyFill="1" applyAlignment="1">
      <alignment vertical="top" wrapText="1"/>
    </xf>
    <xf numFmtId="0" fontId="5" fillId="0" borderId="0" xfId="3" applyFont="1" applyFill="1" applyBorder="1" applyAlignment="1">
      <alignment vertical="top" wrapText="1"/>
    </xf>
    <xf numFmtId="3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9" fillId="0" borderId="0" xfId="3" applyFont="1" applyFill="1" applyBorder="1" applyAlignment="1">
      <alignment vertical="top" wrapText="1"/>
    </xf>
    <xf numFmtId="164" fontId="4" fillId="0" borderId="1" xfId="2" applyNumberFormat="1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right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164" fontId="10" fillId="0" borderId="0" xfId="3" applyNumberFormat="1" applyFont="1" applyFill="1" applyBorder="1" applyAlignment="1">
      <alignment vertical="top" wrapText="1"/>
    </xf>
    <xf numFmtId="0" fontId="10" fillId="0" borderId="0" xfId="3" applyFont="1" applyFill="1" applyAlignment="1">
      <alignment vertical="top" wrapText="1"/>
    </xf>
    <xf numFmtId="0" fontId="10" fillId="0" borderId="0" xfId="3" applyFont="1" applyFill="1" applyBorder="1" applyAlignment="1">
      <alignment vertical="top" wrapText="1"/>
    </xf>
    <xf numFmtId="0" fontId="23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right" vertical="center"/>
    </xf>
    <xf numFmtId="164" fontId="23" fillId="0" borderId="1" xfId="0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 wrapText="1"/>
    </xf>
    <xf numFmtId="0" fontId="24" fillId="0" borderId="1" xfId="3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left" vertical="center" wrapText="1"/>
    </xf>
    <xf numFmtId="164" fontId="24" fillId="0" borderId="1" xfId="0" applyNumberFormat="1" applyFont="1" applyFill="1" applyBorder="1" applyAlignment="1">
      <alignment horizontal="right" vertical="center" wrapText="1"/>
    </xf>
    <xf numFmtId="164" fontId="24" fillId="0" borderId="1" xfId="0" applyNumberFormat="1" applyFont="1" applyFill="1" applyBorder="1" applyAlignment="1">
      <alignment horizontal="right" vertical="center"/>
    </xf>
    <xf numFmtId="3" fontId="24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vertical="center" wrapText="1"/>
    </xf>
    <xf numFmtId="164" fontId="4" fillId="0" borderId="1" xfId="3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164" fontId="22" fillId="0" borderId="1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0" xfId="1" applyFont="1" applyFill="1" applyBorder="1"/>
    <xf numFmtId="0" fontId="3" fillId="0" borderId="0" xfId="1" applyFont="1" applyFill="1"/>
    <xf numFmtId="164" fontId="10" fillId="0" borderId="0" xfId="3" applyNumberFormat="1" applyFont="1" applyFill="1" applyAlignment="1">
      <alignment vertical="top" wrapText="1"/>
    </xf>
    <xf numFmtId="0" fontId="19" fillId="0" borderId="1" xfId="0" applyFont="1" applyFill="1" applyBorder="1" applyAlignment="1">
      <alignment vertical="center"/>
    </xf>
    <xf numFmtId="164" fontId="19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164" fontId="19" fillId="0" borderId="1" xfId="0" applyNumberFormat="1" applyFont="1" applyFill="1" applyBorder="1" applyAlignment="1">
      <alignment horizontal="right" vertical="center"/>
    </xf>
    <xf numFmtId="0" fontId="3" fillId="0" borderId="2" xfId="4" applyFont="1" applyFill="1" applyBorder="1" applyAlignment="1">
      <alignment horizontal="left" vertical="center" wrapText="1"/>
    </xf>
    <xf numFmtId="164" fontId="22" fillId="0" borderId="1" xfId="4" applyNumberFormat="1" applyFont="1" applyFill="1" applyBorder="1" applyAlignment="1">
      <alignment horizontal="right" vertical="center" wrapText="1"/>
    </xf>
    <xf numFmtId="164" fontId="4" fillId="0" borderId="1" xfId="4" applyNumberFormat="1" applyFont="1" applyFill="1" applyBorder="1" applyAlignment="1">
      <alignment horizontal="right" vertical="center" wrapText="1"/>
    </xf>
    <xf numFmtId="164" fontId="4" fillId="0" borderId="2" xfId="4" applyNumberFormat="1" applyFont="1" applyFill="1" applyBorder="1" applyAlignment="1">
      <alignment horizontal="right" vertical="center" wrapText="1"/>
    </xf>
    <xf numFmtId="0" fontId="3" fillId="0" borderId="1" xfId="4" applyFont="1" applyFill="1" applyBorder="1" applyAlignment="1">
      <alignment horizontal="left" vertical="center" wrapText="1"/>
    </xf>
    <xf numFmtId="164" fontId="19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/>
    <xf numFmtId="164" fontId="24" fillId="0" borderId="1" xfId="4" applyNumberFormat="1" applyFont="1" applyFill="1" applyBorder="1" applyAlignment="1">
      <alignment horizontal="right" vertical="center" wrapText="1"/>
    </xf>
    <xf numFmtId="164" fontId="24" fillId="0" borderId="1" xfId="1" applyNumberFormat="1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vertical="center"/>
    </xf>
    <xf numFmtId="164" fontId="24" fillId="0" borderId="2" xfId="4" applyNumberFormat="1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right" vertical="center"/>
    </xf>
    <xf numFmtId="164" fontId="25" fillId="0" borderId="1" xfId="0" applyNumberFormat="1" applyFont="1" applyFill="1" applyBorder="1" applyAlignment="1">
      <alignment horizontal="right" vertical="center"/>
    </xf>
    <xf numFmtId="164" fontId="24" fillId="0" borderId="2" xfId="4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164" fontId="24" fillId="0" borderId="1" xfId="4" applyNumberFormat="1" applyFont="1" applyFill="1" applyBorder="1" applyAlignment="1">
      <alignment horizontal="center" vertical="center" wrapText="1"/>
    </xf>
    <xf numFmtId="0" fontId="24" fillId="0" borderId="3" xfId="1" applyFont="1" applyFill="1" applyBorder="1" applyAlignment="1">
      <alignment vertical="center" wrapText="1"/>
    </xf>
    <xf numFmtId="0" fontId="4" fillId="0" borderId="1" xfId="4" applyFont="1" applyFill="1" applyBorder="1" applyAlignment="1">
      <alignment horizontal="center" vertical="center" wrapText="1"/>
    </xf>
    <xf numFmtId="164" fontId="4" fillId="0" borderId="2" xfId="4" applyNumberFormat="1" applyFont="1" applyFill="1" applyBorder="1" applyAlignment="1">
      <alignment horizontal="center" vertical="center" wrapText="1"/>
    </xf>
    <xf numFmtId="164" fontId="4" fillId="0" borderId="1" xfId="4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center" vertical="top" wrapText="1"/>
    </xf>
    <xf numFmtId="164" fontId="26" fillId="0" borderId="1" xfId="1" applyNumberFormat="1" applyFont="1" applyFill="1" applyBorder="1" applyAlignment="1">
      <alignment horizontal="justify" vertical="top"/>
    </xf>
    <xf numFmtId="0" fontId="4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right" vertical="top" wrapText="1"/>
    </xf>
    <xf numFmtId="164" fontId="27" fillId="0" borderId="1" xfId="0" applyNumberFormat="1" applyFont="1" applyFill="1" applyBorder="1" applyAlignment="1">
      <alignment horizontal="right" vertical="top" wrapText="1"/>
    </xf>
    <xf numFmtId="0" fontId="19" fillId="0" borderId="0" xfId="0" applyFont="1" applyFill="1" applyBorder="1"/>
    <xf numFmtId="0" fontId="19" fillId="0" borderId="0" xfId="0" applyFont="1" applyFill="1"/>
    <xf numFmtId="0" fontId="3" fillId="0" borderId="0" xfId="0" applyFont="1" applyFill="1" applyBorder="1" applyAlignment="1">
      <alignment vertical="top" wrapText="1"/>
    </xf>
    <xf numFmtId="164" fontId="22" fillId="0" borderId="1" xfId="0" applyNumberFormat="1" applyFont="1" applyFill="1" applyBorder="1" applyAlignment="1">
      <alignment horizontal="right" vertical="top" wrapText="1"/>
    </xf>
    <xf numFmtId="0" fontId="4" fillId="0" borderId="1" xfId="1" applyFont="1" applyFill="1" applyBorder="1" applyAlignment="1">
      <alignment horizontal="left" vertical="top" wrapText="1"/>
    </xf>
    <xf numFmtId="164" fontId="4" fillId="0" borderId="3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27" fillId="0" borderId="1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right" vertical="center"/>
    </xf>
    <xf numFmtId="164" fontId="19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164" fontId="22" fillId="0" borderId="1" xfId="1" applyNumberFormat="1" applyFont="1" applyFill="1" applyBorder="1" applyAlignment="1">
      <alignment vertical="center" wrapText="1"/>
    </xf>
    <xf numFmtId="164" fontId="22" fillId="0" borderId="1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lef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0" borderId="0" xfId="3" applyFont="1" applyFill="1" applyAlignment="1">
      <alignment vertical="top" wrapText="1"/>
    </xf>
    <xf numFmtId="164" fontId="3" fillId="0" borderId="0" xfId="0" applyNumberFormat="1" applyFont="1" applyFill="1" applyBorder="1"/>
    <xf numFmtId="164" fontId="3" fillId="0" borderId="0" xfId="0" applyNumberFormat="1" applyFont="1" applyFill="1"/>
    <xf numFmtId="165" fontId="4" fillId="0" borderId="0" xfId="0" applyNumberFormat="1" applyFont="1" applyFill="1" applyBorder="1" applyAlignment="1">
      <alignment vertical="top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65" fontId="4" fillId="0" borderId="1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/>
    <xf numFmtId="164" fontId="26" fillId="0" borderId="3" xfId="0" applyNumberFormat="1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vertical="center"/>
    </xf>
    <xf numFmtId="164" fontId="19" fillId="0" borderId="3" xfId="0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right" vertical="center"/>
    </xf>
    <xf numFmtId="1" fontId="4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right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 applyFill="1"/>
    <xf numFmtId="0" fontId="3" fillId="0" borderId="7" xfId="4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center" vertical="top" wrapText="1"/>
    </xf>
    <xf numFmtId="164" fontId="27" fillId="0" borderId="3" xfId="0" applyNumberFormat="1" applyFont="1" applyFill="1" applyBorder="1" applyAlignment="1">
      <alignment horizontal="right" vertical="top" wrapText="1"/>
    </xf>
    <xf numFmtId="4" fontId="4" fillId="0" borderId="3" xfId="0" applyNumberFormat="1" applyFont="1" applyFill="1" applyBorder="1" applyAlignment="1">
      <alignment horizontal="right" vertical="top" wrapText="1"/>
    </xf>
    <xf numFmtId="4" fontId="27" fillId="0" borderId="1" xfId="0" applyNumberFormat="1" applyFont="1" applyFill="1" applyBorder="1" applyAlignment="1">
      <alignment horizontal="right" vertical="top" wrapText="1"/>
    </xf>
    <xf numFmtId="4" fontId="4" fillId="0" borderId="1" xfId="1" applyNumberFormat="1" applyFont="1" applyFill="1" applyBorder="1" applyAlignment="1">
      <alignment horizontal="right" vertical="top"/>
    </xf>
    <xf numFmtId="4" fontId="4" fillId="0" borderId="3" xfId="1" applyNumberFormat="1" applyFont="1" applyFill="1" applyBorder="1" applyAlignment="1">
      <alignment horizontal="right" vertical="top"/>
    </xf>
    <xf numFmtId="0" fontId="26" fillId="0" borderId="1" xfId="1" applyFont="1" applyFill="1" applyBorder="1" applyAlignment="1">
      <alignment horizontal="left" vertical="top" wrapText="1"/>
    </xf>
    <xf numFmtId="4" fontId="4" fillId="0" borderId="1" xfId="1" applyNumberFormat="1" applyFont="1" applyFill="1" applyBorder="1" applyAlignment="1">
      <alignment horizontal="right" vertical="top" wrapText="1"/>
    </xf>
    <xf numFmtId="4" fontId="4" fillId="0" borderId="3" xfId="1" applyNumberFormat="1" applyFont="1" applyFill="1" applyBorder="1" applyAlignment="1">
      <alignment horizontal="right" vertical="top" wrapText="1"/>
    </xf>
    <xf numFmtId="164" fontId="9" fillId="0" borderId="1" xfId="3" applyNumberFormat="1" applyFont="1" applyFill="1" applyBorder="1" applyAlignment="1">
      <alignment horizontal="center" vertical="top" wrapText="1"/>
    </xf>
    <xf numFmtId="0" fontId="4" fillId="0" borderId="0" xfId="1" applyFont="1" applyFill="1" applyAlignment="1">
      <alignment vertical="center"/>
    </xf>
    <xf numFmtId="164" fontId="4" fillId="0" borderId="0" xfId="0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2" borderId="1" xfId="1" applyFont="1" applyFill="1" applyBorder="1" applyAlignment="1">
      <alignment vertical="top" wrapText="1"/>
    </xf>
    <xf numFmtId="164" fontId="3" fillId="0" borderId="0" xfId="1" applyNumberFormat="1" applyFont="1" applyFill="1" applyBorder="1" applyAlignment="1">
      <alignment vertical="top" wrapText="1"/>
    </xf>
    <xf numFmtId="164" fontId="7" fillId="0" borderId="0" xfId="0" applyNumberFormat="1" applyFont="1" applyFill="1" applyBorder="1"/>
    <xf numFmtId="164" fontId="7" fillId="0" borderId="0" xfId="0" applyNumberFormat="1" applyFont="1" applyAlignment="1">
      <alignment horizontal="right"/>
    </xf>
    <xf numFmtId="0" fontId="16" fillId="2" borderId="0" xfId="1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0" fontId="32" fillId="0" borderId="1" xfId="1" applyFont="1" applyFill="1" applyBorder="1" applyAlignment="1">
      <alignment horizontal="center" vertical="center" wrapText="1"/>
    </xf>
    <xf numFmtId="164" fontId="32" fillId="0" borderId="1" xfId="1" applyNumberFormat="1" applyFont="1" applyFill="1" applyBorder="1" applyAlignment="1">
      <alignment horizontal="center" vertical="center" wrapText="1"/>
    </xf>
    <xf numFmtId="0" fontId="33" fillId="0" borderId="1" xfId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right" vertical="center"/>
    </xf>
    <xf numFmtId="0" fontId="7" fillId="2" borderId="1" xfId="0" applyFont="1" applyFill="1" applyBorder="1"/>
    <xf numFmtId="0" fontId="4" fillId="2" borderId="0" xfId="1" applyFont="1" applyFill="1" applyBorder="1" applyAlignment="1">
      <alignment vertical="top" wrapText="1"/>
    </xf>
    <xf numFmtId="0" fontId="4" fillId="2" borderId="0" xfId="1" applyFont="1" applyFill="1" applyAlignment="1">
      <alignment vertical="top" wrapText="1"/>
    </xf>
    <xf numFmtId="0" fontId="4" fillId="2" borderId="1" xfId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vertical="top" wrapText="1"/>
    </xf>
    <xf numFmtId="164" fontId="22" fillId="2" borderId="1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Alignment="1">
      <alignment vertical="top" wrapText="1"/>
    </xf>
    <xf numFmtId="164" fontId="24" fillId="2" borderId="1" xfId="1" applyNumberFormat="1" applyFont="1" applyFill="1" applyBorder="1" applyAlignment="1">
      <alignment horizontal="right" vertical="center"/>
    </xf>
    <xf numFmtId="164" fontId="21" fillId="2" borderId="1" xfId="1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 wrapText="1"/>
    </xf>
    <xf numFmtId="165" fontId="5" fillId="2" borderId="0" xfId="3" applyNumberFormat="1" applyFont="1" applyFill="1" applyAlignment="1">
      <alignment vertical="top" wrapText="1"/>
    </xf>
    <xf numFmtId="0" fontId="5" fillId="2" borderId="0" xfId="3" applyFont="1" applyFill="1" applyAlignment="1">
      <alignment vertical="top" wrapText="1"/>
    </xf>
    <xf numFmtId="0" fontId="5" fillId="2" borderId="1" xfId="3" applyFont="1" applyFill="1" applyBorder="1" applyAlignment="1">
      <alignment vertical="top" wrapText="1"/>
    </xf>
    <xf numFmtId="164" fontId="5" fillId="2" borderId="0" xfId="3" applyNumberFormat="1" applyFont="1" applyFill="1" applyAlignment="1">
      <alignment vertical="top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right" vertical="center"/>
    </xf>
    <xf numFmtId="164" fontId="4" fillId="2" borderId="1" xfId="1" applyNumberFormat="1" applyFont="1" applyFill="1" applyBorder="1" applyAlignment="1">
      <alignment horizontal="right" vertical="center" wrapText="1"/>
    </xf>
    <xf numFmtId="164" fontId="24" fillId="2" borderId="1" xfId="0" applyNumberFormat="1" applyFont="1" applyFill="1" applyBorder="1" applyAlignment="1">
      <alignment horizontal="right" vertical="center" wrapText="1"/>
    </xf>
    <xf numFmtId="164" fontId="2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22" fillId="2" borderId="1" xfId="0" applyNumberFormat="1" applyFont="1" applyFill="1" applyBorder="1" applyAlignment="1">
      <alignment horizontal="right" vertical="center" wrapText="1"/>
    </xf>
    <xf numFmtId="164" fontId="4" fillId="2" borderId="1" xfId="3" applyNumberFormat="1" applyFont="1" applyFill="1" applyBorder="1" applyAlignment="1">
      <alignment horizontal="right" vertical="center" wrapText="1"/>
    </xf>
    <xf numFmtId="164" fontId="5" fillId="2" borderId="1" xfId="3" applyNumberFormat="1" applyFont="1" applyFill="1" applyBorder="1" applyAlignment="1">
      <alignment vertical="top" wrapText="1"/>
    </xf>
    <xf numFmtId="165" fontId="5" fillId="2" borderId="1" xfId="3" applyNumberFormat="1" applyFont="1" applyFill="1" applyBorder="1" applyAlignment="1">
      <alignment vertical="top" wrapText="1"/>
    </xf>
    <xf numFmtId="0" fontId="4" fillId="2" borderId="1" xfId="1" applyFont="1" applyFill="1" applyBorder="1"/>
    <xf numFmtId="165" fontId="4" fillId="2" borderId="0" xfId="1" applyNumberFormat="1" applyFont="1" applyFill="1"/>
    <xf numFmtId="164" fontId="4" fillId="2" borderId="1" xfId="1" applyNumberFormat="1" applyFont="1" applyFill="1" applyBorder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right" vertical="center"/>
    </xf>
    <xf numFmtId="164" fontId="4" fillId="2" borderId="1" xfId="4" applyNumberFormat="1" applyFont="1" applyFill="1" applyBorder="1" applyAlignment="1">
      <alignment horizontal="right" vertical="center" wrapText="1"/>
    </xf>
    <xf numFmtId="0" fontId="29" fillId="2" borderId="0" xfId="0" applyFont="1" applyFill="1"/>
    <xf numFmtId="0" fontId="4" fillId="2" borderId="0" xfId="0" applyFont="1" applyFill="1"/>
    <xf numFmtId="0" fontId="4" fillId="2" borderId="1" xfId="0" applyFont="1" applyFill="1" applyBorder="1"/>
    <xf numFmtId="164" fontId="24" fillId="2" borderId="1" xfId="1" applyNumberFormat="1" applyFont="1" applyFill="1" applyBorder="1" applyAlignment="1">
      <alignment horizontal="right" vertical="center" wrapText="1"/>
    </xf>
    <xf numFmtId="164" fontId="24" fillId="2" borderId="1" xfId="4" applyNumberFormat="1" applyFont="1" applyFill="1" applyBorder="1" applyAlignment="1">
      <alignment horizontal="right" vertical="center" wrapText="1"/>
    </xf>
    <xf numFmtId="164" fontId="25" fillId="2" borderId="1" xfId="0" applyNumberFormat="1" applyFont="1" applyFill="1" applyBorder="1" applyAlignment="1">
      <alignment horizontal="right" vertical="center"/>
    </xf>
    <xf numFmtId="164" fontId="24" fillId="2" borderId="2" xfId="4" applyNumberFormat="1" applyFont="1" applyFill="1" applyBorder="1" applyAlignment="1">
      <alignment horizontal="right" vertical="center" wrapText="1"/>
    </xf>
    <xf numFmtId="164" fontId="5" fillId="2" borderId="1" xfId="3" applyNumberFormat="1" applyFont="1" applyFill="1" applyBorder="1" applyAlignment="1">
      <alignment horizontal="center" vertical="top" wrapText="1"/>
    </xf>
    <xf numFmtId="164" fontId="4" fillId="2" borderId="0" xfId="0" applyNumberFormat="1" applyFont="1" applyFill="1"/>
    <xf numFmtId="164" fontId="4" fillId="2" borderId="1" xfId="0" applyNumberFormat="1" applyFont="1" applyFill="1" applyBorder="1"/>
    <xf numFmtId="164" fontId="4" fillId="2" borderId="0" xfId="1" applyNumberFormat="1" applyFont="1" applyFill="1"/>
    <xf numFmtId="164" fontId="4" fillId="2" borderId="1" xfId="1" applyNumberFormat="1" applyFont="1" applyFill="1" applyBorder="1"/>
    <xf numFmtId="164" fontId="4" fillId="2" borderId="1" xfId="0" applyNumberFormat="1" applyFont="1" applyFill="1" applyBorder="1" applyAlignment="1">
      <alignment horizontal="right" vertical="top" wrapText="1"/>
    </xf>
    <xf numFmtId="164" fontId="19" fillId="2" borderId="0" xfId="0" applyNumberFormat="1" applyFont="1" applyFill="1"/>
    <xf numFmtId="164" fontId="4" fillId="2" borderId="1" xfId="0" applyNumberFormat="1" applyFont="1" applyFill="1" applyBorder="1" applyAlignment="1">
      <alignment horizontal="right" vertical="top"/>
    </xf>
    <xf numFmtId="164" fontId="4" fillId="2" borderId="3" xfId="0" applyNumberFormat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horizontal="right" vertical="top" wrapText="1"/>
    </xf>
    <xf numFmtId="164" fontId="4" fillId="2" borderId="3" xfId="0" applyNumberFormat="1" applyFont="1" applyFill="1" applyBorder="1" applyAlignment="1">
      <alignment horizontal="right" vertical="top" wrapText="1"/>
    </xf>
    <xf numFmtId="164" fontId="4" fillId="2" borderId="11" xfId="0" applyNumberFormat="1" applyFont="1" applyFill="1" applyBorder="1" applyAlignment="1">
      <alignment horizontal="right" vertical="top" wrapText="1"/>
    </xf>
    <xf numFmtId="164" fontId="4" fillId="2" borderId="9" xfId="0" applyNumberFormat="1" applyFont="1" applyFill="1" applyBorder="1" applyAlignment="1">
      <alignment horizontal="right" vertical="top" wrapText="1"/>
    </xf>
    <xf numFmtId="164" fontId="4" fillId="2" borderId="12" xfId="0" applyNumberFormat="1" applyFont="1" applyFill="1" applyBorder="1" applyAlignment="1">
      <alignment horizontal="right" vertical="top" wrapText="1"/>
    </xf>
    <xf numFmtId="164" fontId="4" fillId="2" borderId="4" xfId="0" applyNumberFormat="1" applyFont="1" applyFill="1" applyBorder="1" applyAlignment="1">
      <alignment horizontal="right" vertical="top" wrapText="1"/>
    </xf>
    <xf numFmtId="164" fontId="4" fillId="2" borderId="0" xfId="0" applyNumberFormat="1" applyFont="1" applyFill="1" applyBorder="1" applyAlignment="1">
      <alignment horizontal="righ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164" fontId="4" fillId="2" borderId="3" xfId="0" applyNumberFormat="1" applyFont="1" applyFill="1" applyBorder="1" applyAlignment="1">
      <alignment horizontal="center" wrapText="1"/>
    </xf>
    <xf numFmtId="164" fontId="4" fillId="2" borderId="13" xfId="0" applyNumberFormat="1" applyFont="1" applyFill="1" applyBorder="1" applyAlignment="1">
      <alignment horizontal="right" vertical="top" wrapText="1"/>
    </xf>
    <xf numFmtId="164" fontId="4" fillId="2" borderId="3" xfId="0" applyNumberFormat="1" applyFont="1" applyFill="1" applyBorder="1"/>
    <xf numFmtId="164" fontId="4" fillId="2" borderId="1" xfId="1" applyNumberFormat="1" applyFont="1" applyFill="1" applyBorder="1" applyAlignment="1">
      <alignment horizontal="right" vertical="top"/>
    </xf>
    <xf numFmtId="164" fontId="4" fillId="2" borderId="0" xfId="0" applyNumberFormat="1" applyFont="1" applyFill="1" applyBorder="1" applyAlignment="1">
      <alignment vertical="top" wrapText="1"/>
    </xf>
    <xf numFmtId="0" fontId="19" fillId="2" borderId="1" xfId="0" applyFont="1" applyFill="1" applyBorder="1"/>
    <xf numFmtId="164" fontId="19" fillId="2" borderId="10" xfId="0" applyNumberFormat="1" applyFont="1" applyFill="1" applyBorder="1" applyAlignment="1">
      <alignment horizontal="right" vertical="center"/>
    </xf>
    <xf numFmtId="164" fontId="4" fillId="2" borderId="9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top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164" fontId="5" fillId="2" borderId="3" xfId="3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right" vertical="center" wrapText="1"/>
    </xf>
    <xf numFmtId="0" fontId="30" fillId="2" borderId="0" xfId="0" applyFont="1" applyFill="1"/>
    <xf numFmtId="0" fontId="4" fillId="2" borderId="1" xfId="1" applyFont="1" applyFill="1" applyBorder="1" applyAlignment="1">
      <alignment horizontal="right" vertical="center"/>
    </xf>
    <xf numFmtId="0" fontId="31" fillId="2" borderId="0" xfId="0" applyFont="1" applyFill="1"/>
    <xf numFmtId="0" fontId="31" fillId="2" borderId="1" xfId="0" applyFont="1" applyFill="1" applyBorder="1"/>
    <xf numFmtId="164" fontId="27" fillId="2" borderId="1" xfId="0" applyNumberFormat="1" applyFont="1" applyFill="1" applyBorder="1" applyAlignment="1">
      <alignment horizontal="right" vertical="top" wrapText="1"/>
    </xf>
    <xf numFmtId="164" fontId="4" fillId="2" borderId="2" xfId="1" applyNumberFormat="1" applyFont="1" applyFill="1" applyBorder="1" applyAlignment="1">
      <alignment horizontal="right" vertical="top" wrapText="1"/>
    </xf>
    <xf numFmtId="164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3" fillId="2" borderId="0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64" fontId="40" fillId="0" borderId="1" xfId="1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left" vertical="center" wrapText="1"/>
    </xf>
    <xf numFmtId="164" fontId="41" fillId="0" borderId="1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4" applyNumberFormat="1" applyFont="1" applyFill="1" applyBorder="1" applyAlignment="1">
      <alignment horizontal="center" vertical="center" wrapText="1"/>
    </xf>
    <xf numFmtId="164" fontId="4" fillId="2" borderId="2" xfId="4" applyNumberFormat="1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right" vertical="center"/>
    </xf>
    <xf numFmtId="164" fontId="4" fillId="2" borderId="2" xfId="4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4" fontId="26" fillId="0" borderId="1" xfId="1" applyNumberFormat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32" fillId="2" borderId="1" xfId="1" applyFont="1" applyFill="1" applyBorder="1" applyAlignment="1">
      <alignment horizontal="center" vertical="center" wrapText="1"/>
    </xf>
    <xf numFmtId="165" fontId="32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33" fillId="2" borderId="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" fontId="3" fillId="0" borderId="1" xfId="0" applyNumberFormat="1" applyFont="1" applyFill="1" applyBorder="1" applyAlignment="1">
      <alignment horizontal="right" vertical="center" wrapText="1"/>
    </xf>
    <xf numFmtId="0" fontId="16" fillId="2" borderId="0" xfId="1" applyFont="1" applyFill="1" applyAlignment="1">
      <alignment horizontal="left"/>
    </xf>
    <xf numFmtId="0" fontId="0" fillId="2" borderId="0" xfId="0" applyFont="1" applyFill="1" applyAlignment="1">
      <alignment horizontal="left"/>
    </xf>
    <xf numFmtId="0" fontId="16" fillId="2" borderId="0" xfId="1" applyFont="1" applyFill="1" applyAlignment="1">
      <alignment horizontal="left" vertical="top" wrapText="1"/>
    </xf>
    <xf numFmtId="0" fontId="4" fillId="2" borderId="9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6" fillId="2" borderId="0" xfId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left" vertical="top" wrapText="1"/>
    </xf>
    <xf numFmtId="0" fontId="0" fillId="0" borderId="0" xfId="0" applyAlignment="1">
      <alignment horizontal="left"/>
    </xf>
    <xf numFmtId="0" fontId="3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left" vertical="center" wrapText="1"/>
    </xf>
    <xf numFmtId="1" fontId="3" fillId="0" borderId="6" xfId="0" applyNumberFormat="1" applyFont="1" applyFill="1" applyBorder="1" applyAlignment="1">
      <alignment horizontal="left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4" fontId="4" fillId="0" borderId="6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Fill="1" applyBorder="1" applyAlignment="1">
      <alignment horizontal="left" vertical="center" wrapText="1"/>
    </xf>
    <xf numFmtId="164" fontId="4" fillId="0" borderId="6" xfId="0" applyNumberFormat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_Копия Таблица-заявка по АИП на 2009-2011 годы" xfId="2"/>
    <cellStyle name="Обычный_Таблица 5 до 2012 года" xfId="3"/>
    <cellStyle name="Обычный_Титул" xfId="4"/>
  </cellStyles>
  <dxfs count="0"/>
  <tableStyles count="0" defaultTableStyle="TableStyleMedium9" defaultPivotStyle="PivotStyleLight16"/>
  <colors>
    <mruColors>
      <color rgb="FF0066FF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files\Users\Users\&#1044;&#1077;&#1087;&#1072;&#1088;&#1090;&#1072;&#1084;&#1077;&#1085;&#1090;%20&#1101;&#1082;&#1086;&#1085;&#1086;&#1084;&#1080;&#1082;&#1080;\&#1054;&#1090;&#1076;&#1077;&#1083;%20&#1073;&#1102;&#1076;&#1078;&#1077;&#1090;&#1085;&#1099;&#1093;%20&#1080;&#1085;&#1074;&#1077;&#1089;&#1090;&#1080;&#1094;&#1080;&#1081;\&#1057;&#1090;&#1088;&#1091;&#1082;&#1090;&#1091;&#1088;&#1072;%20&#1073;&#1072;&#1079;%20&#1076;&#1072;&#1085;&#1085;&#1099;&#1093;%20&#1086;&#1090;&#1076;&#1077;&#1083;&#1072;\&#1055;&#1057;&#1069;&#1056;%20&#1076;&#1086;%202020%20&#1075;&#1086;&#1076;&#1072;\&#1087;&#1088;&#1086;&#1075;&#1088;&#1072;&#1084;&#1084;&#1072;%202020\&#1055;&#1088;&#1080;&#1083;&#1086;&#1078;&#1077;&#1085;&#1080;&#1077;%209\&#1087;&#1077;&#1088;.%20&#1079;&#1076;&#1088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гр мероп"/>
      <sheetName val="эффективн мероп"/>
      <sheetName val="фин"/>
      <sheetName val="фин с краем"/>
      <sheetName val="показатели"/>
      <sheetName val="нормативн"/>
      <sheetName val="капстр"/>
      <sheetName val="капстр (с краевыми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39">
          <cell r="J239">
            <v>344669.6</v>
          </cell>
        </row>
        <row r="240">
          <cell r="J240">
            <v>310400</v>
          </cell>
        </row>
        <row r="241">
          <cell r="J241">
            <v>310400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C42708"/>
  </sheetPr>
  <dimension ref="A1:S1351"/>
  <sheetViews>
    <sheetView tabSelected="1" view="pageBreakPreview" zoomScale="110" zoomScaleNormal="130" zoomScaleSheetLayoutView="110" workbookViewId="0">
      <pane ySplit="14" topLeftCell="A15" activePane="bottomLeft" state="frozen"/>
      <selection pane="bottomLeft" activeCell="B10" sqref="B10:K10"/>
    </sheetView>
  </sheetViews>
  <sheetFormatPr defaultRowHeight="15.75"/>
  <cols>
    <col min="1" max="1" width="4.7109375" style="30" customWidth="1"/>
    <col min="2" max="2" width="32.140625" style="28" customWidth="1"/>
    <col min="3" max="3" width="11.85546875" style="342" customWidth="1"/>
    <col min="4" max="4" width="11.28515625" style="1" customWidth="1"/>
    <col min="5" max="5" width="12.140625" style="1" customWidth="1"/>
    <col min="6" max="6" width="12.85546875" style="1" customWidth="1"/>
    <col min="7" max="7" width="12.7109375" style="5" customWidth="1"/>
    <col min="8" max="8" width="14.28515625" style="5" customWidth="1"/>
    <col min="9" max="9" width="14" style="5" customWidth="1"/>
    <col min="10" max="10" width="13.85546875" style="339" customWidth="1"/>
    <col min="11" max="11" width="4" style="9" hidden="1" customWidth="1"/>
    <col min="12" max="12" width="9.5703125" style="9" hidden="1" customWidth="1"/>
    <col min="13" max="13" width="15.140625" style="9" customWidth="1"/>
    <col min="14" max="14" width="12.140625" style="26" bestFit="1" customWidth="1"/>
    <col min="15" max="15" width="12" style="1" customWidth="1"/>
    <col min="16" max="16" width="11.85546875" style="1" customWidth="1"/>
    <col min="17" max="16384" width="9.140625" style="1"/>
  </cols>
  <sheetData>
    <row r="1" spans="1:16" s="9" customFormat="1" ht="18.75" hidden="1">
      <c r="A1" s="29"/>
      <c r="B1" s="27"/>
      <c r="C1" s="341"/>
      <c r="D1" s="6"/>
      <c r="E1" s="7"/>
      <c r="F1" s="7"/>
      <c r="G1" s="10"/>
      <c r="H1" s="381" t="s">
        <v>139</v>
      </c>
      <c r="I1" s="382"/>
      <c r="J1" s="382"/>
      <c r="K1" s="8"/>
      <c r="N1" s="25"/>
    </row>
    <row r="2" spans="1:16" s="9" customFormat="1" ht="16.5" hidden="1" customHeight="1">
      <c r="A2" s="29"/>
      <c r="B2" s="27"/>
      <c r="C2" s="341"/>
      <c r="D2" s="6"/>
      <c r="E2" s="7"/>
      <c r="F2" s="7"/>
      <c r="G2" s="10"/>
      <c r="H2" s="383" t="s">
        <v>198</v>
      </c>
      <c r="I2" s="383"/>
      <c r="J2" s="383"/>
      <c r="K2" s="43"/>
      <c r="N2" s="25"/>
    </row>
    <row r="3" spans="1:16" s="9" customFormat="1" ht="26.25" hidden="1" customHeight="1">
      <c r="A3" s="29"/>
      <c r="B3" s="27"/>
      <c r="C3" s="342">
        <v>2010</v>
      </c>
      <c r="D3" s="35">
        <v>2011</v>
      </c>
      <c r="E3" s="1">
        <v>2012</v>
      </c>
      <c r="F3" s="1">
        <v>2013</v>
      </c>
      <c r="G3" s="1">
        <v>2014</v>
      </c>
      <c r="H3" s="1">
        <v>2015</v>
      </c>
      <c r="I3" s="42"/>
      <c r="J3" s="238"/>
      <c r="K3" s="43"/>
      <c r="N3" s="25"/>
    </row>
    <row r="4" spans="1:16" s="9" customFormat="1" ht="12.75" hidden="1" customHeight="1">
      <c r="A4" s="29"/>
      <c r="B4" s="27"/>
      <c r="C4" s="342">
        <v>5.56</v>
      </c>
      <c r="D4" s="36">
        <f>C4*1.05</f>
        <v>5.8380000000000001</v>
      </c>
      <c r="E4" s="37">
        <f>D4*1.07</f>
        <v>6.2466600000000003</v>
      </c>
      <c r="F4" s="37">
        <f>E4*1.068</f>
        <v>6.6714328800000011</v>
      </c>
      <c r="G4" s="37">
        <f>F4*1.066</f>
        <v>7.111747450080002</v>
      </c>
      <c r="H4" s="37">
        <f>G4*1.064</f>
        <v>7.5668992868851221</v>
      </c>
      <c r="I4" s="42"/>
      <c r="J4" s="238"/>
      <c r="K4" s="43"/>
      <c r="N4" s="25"/>
    </row>
    <row r="5" spans="1:16" s="9" customFormat="1" ht="18.75" hidden="1" customHeight="1">
      <c r="A5" s="391" t="s">
        <v>117</v>
      </c>
      <c r="B5" s="392"/>
      <c r="C5" s="392"/>
      <c r="D5" s="392"/>
      <c r="E5" s="392"/>
      <c r="F5" s="392"/>
      <c r="G5" s="392"/>
      <c r="H5" s="392"/>
      <c r="I5" s="392"/>
      <c r="J5" s="392"/>
      <c r="N5" s="25"/>
      <c r="P5" s="9" t="s">
        <v>138</v>
      </c>
    </row>
    <row r="6" spans="1:16" s="9" customFormat="1" ht="21.75" hidden="1" customHeight="1">
      <c r="A6" s="384" t="s">
        <v>0</v>
      </c>
      <c r="B6" s="384"/>
      <c r="C6" s="384"/>
      <c r="D6" s="384"/>
      <c r="E6" s="7"/>
      <c r="F6" s="7"/>
      <c r="G6" s="10"/>
      <c r="H6" s="10"/>
      <c r="I6" s="10"/>
      <c r="J6" s="11" t="s">
        <v>118</v>
      </c>
      <c r="N6" s="25"/>
    </row>
    <row r="7" spans="1:16" s="9" customFormat="1" ht="18" customHeight="1">
      <c r="A7" s="45"/>
      <c r="B7" s="45"/>
      <c r="C7" s="340"/>
      <c r="D7" s="45"/>
      <c r="E7" s="7"/>
      <c r="F7" s="7"/>
      <c r="G7" s="10"/>
      <c r="H7" s="395" t="s">
        <v>357</v>
      </c>
      <c r="I7" s="396"/>
      <c r="J7" s="396"/>
      <c r="K7" s="396"/>
      <c r="L7" s="396"/>
      <c r="M7" s="396"/>
      <c r="N7" s="25"/>
    </row>
    <row r="8" spans="1:16" s="9" customFormat="1" ht="30.75" customHeight="1">
      <c r="A8" s="45"/>
      <c r="B8" s="45"/>
      <c r="C8" s="340"/>
      <c r="D8" s="45"/>
      <c r="E8" s="7"/>
      <c r="F8" s="7"/>
      <c r="G8" s="10"/>
      <c r="H8" s="396"/>
      <c r="I8" s="396"/>
      <c r="J8" s="396"/>
      <c r="K8" s="396"/>
      <c r="L8" s="396"/>
      <c r="M8" s="396"/>
      <c r="N8" s="25"/>
    </row>
    <row r="9" spans="1:16" s="9" customFormat="1">
      <c r="A9" s="45"/>
      <c r="B9" s="45"/>
      <c r="C9" s="340"/>
      <c r="D9" s="45"/>
      <c r="E9" s="7"/>
      <c r="F9" s="7"/>
      <c r="G9" s="10"/>
      <c r="H9" s="10"/>
      <c r="I9" s="10"/>
      <c r="J9" s="11"/>
      <c r="N9" s="25"/>
    </row>
    <row r="10" spans="1:16" s="9" customFormat="1">
      <c r="A10" s="45"/>
      <c r="B10" s="378" t="s">
        <v>117</v>
      </c>
      <c r="C10" s="379"/>
      <c r="D10" s="379"/>
      <c r="E10" s="379"/>
      <c r="F10" s="379"/>
      <c r="G10" s="379"/>
      <c r="H10" s="379"/>
      <c r="I10" s="379"/>
      <c r="J10" s="379"/>
      <c r="K10" s="379"/>
      <c r="N10" s="25"/>
    </row>
    <row r="11" spans="1:16" s="9" customFormat="1" ht="4.5" customHeight="1">
      <c r="A11" s="45"/>
      <c r="B11" s="45"/>
      <c r="C11" s="340"/>
      <c r="D11" s="45"/>
      <c r="E11" s="7"/>
      <c r="F11" s="7"/>
      <c r="G11" s="10"/>
      <c r="H11" s="10"/>
      <c r="N11" s="25"/>
    </row>
    <row r="12" spans="1:16" s="9" customFormat="1">
      <c r="A12" s="45"/>
      <c r="B12" s="45"/>
      <c r="C12" s="340"/>
      <c r="D12" s="45"/>
      <c r="E12" s="7"/>
      <c r="F12" s="7"/>
      <c r="G12" s="10"/>
      <c r="H12" s="10"/>
      <c r="N12" s="25"/>
    </row>
    <row r="13" spans="1:16" s="12" customFormat="1" ht="31.5" customHeight="1">
      <c r="A13" s="393" t="s">
        <v>1</v>
      </c>
      <c r="B13" s="385" t="s">
        <v>2</v>
      </c>
      <c r="C13" s="385" t="s">
        <v>3</v>
      </c>
      <c r="D13" s="385" t="s">
        <v>119</v>
      </c>
      <c r="E13" s="385" t="s">
        <v>4</v>
      </c>
      <c r="F13" s="385" t="s">
        <v>5</v>
      </c>
      <c r="G13" s="385" t="s">
        <v>6</v>
      </c>
      <c r="H13" s="388" t="s">
        <v>7</v>
      </c>
      <c r="I13" s="389"/>
      <c r="J13" s="390"/>
      <c r="K13" s="9"/>
      <c r="M13" s="397" t="s">
        <v>327</v>
      </c>
      <c r="N13" s="58"/>
      <c r="O13" s="57"/>
      <c r="P13" s="57"/>
    </row>
    <row r="14" spans="1:16" s="12" customFormat="1" ht="75.75" customHeight="1">
      <c r="A14" s="394"/>
      <c r="B14" s="386"/>
      <c r="C14" s="387"/>
      <c r="D14" s="387"/>
      <c r="E14" s="387"/>
      <c r="F14" s="387"/>
      <c r="G14" s="387"/>
      <c r="H14" s="59" t="s">
        <v>8</v>
      </c>
      <c r="I14" s="60" t="s">
        <v>9</v>
      </c>
      <c r="J14" s="256" t="s">
        <v>10</v>
      </c>
      <c r="M14" s="398"/>
      <c r="N14" s="58"/>
      <c r="O14" s="57"/>
      <c r="P14" s="57"/>
    </row>
    <row r="15" spans="1:16" s="9" customFormat="1">
      <c r="A15" s="61">
        <v>1</v>
      </c>
      <c r="B15" s="60">
        <v>2</v>
      </c>
      <c r="C15" s="240">
        <v>3</v>
      </c>
      <c r="D15" s="61">
        <v>4</v>
      </c>
      <c r="E15" s="62">
        <v>5</v>
      </c>
      <c r="F15" s="61">
        <v>6</v>
      </c>
      <c r="G15" s="62">
        <v>7</v>
      </c>
      <c r="H15" s="62">
        <v>8</v>
      </c>
      <c r="I15" s="61">
        <v>9</v>
      </c>
      <c r="J15" s="257">
        <v>10</v>
      </c>
      <c r="M15" s="257">
        <v>11</v>
      </c>
      <c r="N15" s="63"/>
      <c r="O15" s="56"/>
      <c r="P15" s="56"/>
    </row>
    <row r="16" spans="1:16" s="13" customFormat="1" ht="20.25" customHeight="1">
      <c r="A16" s="405" t="s">
        <v>186</v>
      </c>
      <c r="B16" s="406"/>
      <c r="C16" s="240"/>
      <c r="D16" s="61"/>
      <c r="E16" s="62"/>
      <c r="F16" s="61"/>
      <c r="G16" s="64"/>
      <c r="H16" s="65"/>
      <c r="I16" s="66"/>
      <c r="J16" s="258"/>
      <c r="K16" s="9"/>
      <c r="L16" s="9"/>
      <c r="M16" s="259"/>
      <c r="N16" s="63"/>
      <c r="O16" s="56"/>
      <c r="P16" s="56"/>
    </row>
    <row r="17" spans="1:16" s="9" customFormat="1" ht="15.75" customHeight="1">
      <c r="A17" s="67"/>
      <c r="B17" s="67" t="s">
        <v>11</v>
      </c>
      <c r="C17" s="240"/>
      <c r="D17" s="61"/>
      <c r="E17" s="62"/>
      <c r="F17" s="61"/>
      <c r="G17" s="64"/>
      <c r="H17" s="65"/>
      <c r="I17" s="66"/>
      <c r="J17" s="258"/>
      <c r="M17" s="259"/>
      <c r="N17" s="63"/>
      <c r="O17" s="56"/>
      <c r="P17" s="56"/>
    </row>
    <row r="18" spans="1:16" s="14" customFormat="1" ht="34.5" customHeight="1">
      <c r="A18" s="68">
        <v>1</v>
      </c>
      <c r="B18" s="69" t="s">
        <v>149</v>
      </c>
      <c r="C18" s="60" t="s">
        <v>29</v>
      </c>
      <c r="D18" s="68" t="s">
        <v>136</v>
      </c>
      <c r="E18" s="70">
        <v>171332.6</v>
      </c>
      <c r="F18" s="70">
        <f>F19</f>
        <v>96509.510106200774</v>
      </c>
      <c r="G18" s="70">
        <f>G19</f>
        <v>536592.87619047624</v>
      </c>
      <c r="H18" s="66"/>
      <c r="I18" s="66"/>
      <c r="J18" s="258"/>
      <c r="K18" s="260"/>
      <c r="L18" s="260"/>
      <c r="M18" s="258"/>
      <c r="N18" s="71"/>
      <c r="O18" s="71"/>
      <c r="P18" s="71"/>
    </row>
    <row r="19" spans="1:16" s="4" customFormat="1">
      <c r="A19" s="68"/>
      <c r="B19" s="72" t="s">
        <v>86</v>
      </c>
      <c r="C19" s="60"/>
      <c r="D19" s="73"/>
      <c r="E19" s="74" t="s">
        <v>30</v>
      </c>
      <c r="F19" s="70">
        <f>G19/C4</f>
        <v>96509.510106200774</v>
      </c>
      <c r="G19" s="66">
        <f>F20*C4+H19</f>
        <v>536592.87619047624</v>
      </c>
      <c r="H19" s="66">
        <f>I19+J19</f>
        <v>102252.4</v>
      </c>
      <c r="I19" s="66">
        <v>8208</v>
      </c>
      <c r="J19" s="258">
        <v>94044.4</v>
      </c>
      <c r="K19" s="261"/>
      <c r="L19" s="261"/>
      <c r="M19" s="262"/>
      <c r="N19" s="71"/>
      <c r="O19" s="75"/>
      <c r="P19" s="75"/>
    </row>
    <row r="20" spans="1:16" s="4" customFormat="1">
      <c r="A20" s="68"/>
      <c r="B20" s="72" t="s">
        <v>85</v>
      </c>
      <c r="C20" s="60"/>
      <c r="D20" s="73"/>
      <c r="E20" s="74"/>
      <c r="F20" s="70">
        <f>G20/D4</f>
        <v>78118.790681740327</v>
      </c>
      <c r="G20" s="66">
        <f>H20</f>
        <v>456057.5</v>
      </c>
      <c r="H20" s="66">
        <f t="shared" ref="H20:H24" si="0">I20+J20</f>
        <v>456057.5</v>
      </c>
      <c r="I20" s="76"/>
      <c r="J20" s="258">
        <v>456057.5</v>
      </c>
      <c r="K20" s="261"/>
      <c r="L20" s="261"/>
      <c r="M20" s="263"/>
      <c r="N20" s="71"/>
      <c r="O20" s="75"/>
      <c r="P20" s="75"/>
    </row>
    <row r="21" spans="1:16" s="4" customFormat="1">
      <c r="A21" s="68"/>
      <c r="B21" s="72" t="s">
        <v>87</v>
      </c>
      <c r="C21" s="60"/>
      <c r="D21" s="73"/>
      <c r="E21" s="74"/>
      <c r="F21" s="77"/>
      <c r="G21" s="78"/>
      <c r="H21" s="66">
        <f t="shared" si="0"/>
        <v>0</v>
      </c>
      <c r="I21" s="78"/>
      <c r="J21" s="264"/>
      <c r="K21" s="261"/>
      <c r="L21" s="261"/>
      <c r="M21" s="263"/>
      <c r="N21" s="71"/>
      <c r="O21" s="75"/>
      <c r="P21" s="75"/>
    </row>
    <row r="22" spans="1:16" s="4" customFormat="1">
      <c r="A22" s="68"/>
      <c r="B22" s="72" t="s">
        <v>31</v>
      </c>
      <c r="C22" s="60"/>
      <c r="D22" s="73"/>
      <c r="E22" s="74"/>
      <c r="F22" s="70"/>
      <c r="G22" s="66"/>
      <c r="H22" s="66">
        <f t="shared" si="0"/>
        <v>0</v>
      </c>
      <c r="I22" s="66"/>
      <c r="J22" s="258"/>
      <c r="K22" s="265">
        <f>J22</f>
        <v>0</v>
      </c>
      <c r="L22" s="261">
        <f>176000+130372.6</f>
        <v>306372.59999999998</v>
      </c>
      <c r="M22" s="263"/>
      <c r="N22" s="71"/>
      <c r="O22" s="75"/>
      <c r="P22" s="75"/>
    </row>
    <row r="23" spans="1:16" s="4" customFormat="1">
      <c r="A23" s="68"/>
      <c r="B23" s="72" t="s">
        <v>32</v>
      </c>
      <c r="C23" s="60"/>
      <c r="D23" s="73"/>
      <c r="E23" s="74"/>
      <c r="F23" s="70"/>
      <c r="G23" s="66"/>
      <c r="H23" s="66">
        <f t="shared" si="0"/>
        <v>0</v>
      </c>
      <c r="I23" s="66"/>
      <c r="J23" s="258"/>
      <c r="K23" s="261"/>
      <c r="L23" s="261"/>
      <c r="M23" s="263"/>
      <c r="N23" s="71"/>
      <c r="O23" s="75"/>
      <c r="P23" s="75"/>
    </row>
    <row r="24" spans="1:16" s="4" customFormat="1">
      <c r="A24" s="68"/>
      <c r="B24" s="72" t="s">
        <v>33</v>
      </c>
      <c r="C24" s="60"/>
      <c r="D24" s="73"/>
      <c r="E24" s="74"/>
      <c r="F24" s="70"/>
      <c r="G24" s="66"/>
      <c r="H24" s="66">
        <f t="shared" si="0"/>
        <v>0</v>
      </c>
      <c r="I24" s="66"/>
      <c r="J24" s="258"/>
      <c r="K24" s="261"/>
      <c r="L24" s="261"/>
      <c r="M24" s="263"/>
      <c r="N24" s="71"/>
      <c r="O24" s="75"/>
      <c r="P24" s="75"/>
    </row>
    <row r="25" spans="1:16" s="4" customFormat="1" ht="30.75" customHeight="1">
      <c r="A25" s="68">
        <v>2</v>
      </c>
      <c r="B25" s="69" t="s">
        <v>158</v>
      </c>
      <c r="C25" s="60" t="s">
        <v>34</v>
      </c>
      <c r="D25" s="68" t="s">
        <v>35</v>
      </c>
      <c r="E25" s="70">
        <v>8901.7999999999993</v>
      </c>
      <c r="F25" s="70">
        <f>F26</f>
        <v>5786.1151079136689</v>
      </c>
      <c r="G25" s="70">
        <f>G26</f>
        <v>32170.799999999999</v>
      </c>
      <c r="H25" s="79"/>
      <c r="I25" s="79"/>
      <c r="J25" s="266"/>
      <c r="K25" s="261"/>
      <c r="L25" s="261"/>
      <c r="M25" s="258"/>
      <c r="N25" s="71"/>
      <c r="O25" s="75"/>
      <c r="P25" s="75"/>
    </row>
    <row r="26" spans="1:16" s="4" customFormat="1">
      <c r="A26" s="68"/>
      <c r="B26" s="72" t="s">
        <v>86</v>
      </c>
      <c r="C26" s="241"/>
      <c r="D26" s="68"/>
      <c r="E26" s="80" t="s">
        <v>30</v>
      </c>
      <c r="F26" s="70">
        <f>G26/C4</f>
        <v>5786.1151079136689</v>
      </c>
      <c r="G26" s="66">
        <f>H26</f>
        <v>32170.799999999999</v>
      </c>
      <c r="H26" s="66">
        <f t="shared" ref="H26:H96" si="1">I26+J26</f>
        <v>32170.799999999999</v>
      </c>
      <c r="I26" s="66"/>
      <c r="J26" s="258">
        <v>32170.799999999999</v>
      </c>
      <c r="K26" s="261"/>
      <c r="L26" s="261"/>
      <c r="M26" s="262"/>
      <c r="N26" s="71"/>
      <c r="O26" s="75"/>
      <c r="P26" s="75"/>
    </row>
    <row r="27" spans="1:16" s="4" customFormat="1">
      <c r="A27" s="81"/>
      <c r="B27" s="72" t="s">
        <v>85</v>
      </c>
      <c r="C27" s="242"/>
      <c r="D27" s="81"/>
      <c r="E27" s="82"/>
      <c r="F27" s="83"/>
      <c r="G27" s="79"/>
      <c r="H27" s="66">
        <f t="shared" si="1"/>
        <v>0</v>
      </c>
      <c r="I27" s="79"/>
      <c r="J27" s="266"/>
      <c r="K27" s="261"/>
      <c r="L27" s="261"/>
      <c r="M27" s="262"/>
      <c r="N27" s="71"/>
      <c r="O27" s="75"/>
      <c r="P27" s="75"/>
    </row>
    <row r="28" spans="1:16" s="4" customFormat="1">
      <c r="A28" s="81"/>
      <c r="B28" s="72" t="s">
        <v>87</v>
      </c>
      <c r="C28" s="242"/>
      <c r="D28" s="81"/>
      <c r="E28" s="82"/>
      <c r="F28" s="83"/>
      <c r="G28" s="79"/>
      <c r="H28" s="66">
        <f t="shared" si="1"/>
        <v>0</v>
      </c>
      <c r="I28" s="79"/>
      <c r="J28" s="266"/>
      <c r="K28" s="261"/>
      <c r="L28" s="261"/>
      <c r="M28" s="262"/>
      <c r="N28" s="71"/>
      <c r="O28" s="75"/>
      <c r="P28" s="75"/>
    </row>
    <row r="29" spans="1:16" s="4" customFormat="1">
      <c r="A29" s="81"/>
      <c r="B29" s="72" t="s">
        <v>31</v>
      </c>
      <c r="C29" s="243"/>
      <c r="D29" s="81"/>
      <c r="E29" s="83"/>
      <c r="F29" s="83"/>
      <c r="G29" s="79"/>
      <c r="H29" s="66">
        <f t="shared" si="1"/>
        <v>0</v>
      </c>
      <c r="I29" s="79"/>
      <c r="J29" s="266"/>
      <c r="K29" s="261"/>
      <c r="L29" s="261"/>
      <c r="M29" s="262"/>
      <c r="N29" s="71"/>
      <c r="O29" s="75"/>
      <c r="P29" s="75"/>
    </row>
    <row r="30" spans="1:16" s="4" customFormat="1">
      <c r="A30" s="81"/>
      <c r="B30" s="72" t="s">
        <v>32</v>
      </c>
      <c r="C30" s="242"/>
      <c r="D30" s="81"/>
      <c r="E30" s="82"/>
      <c r="F30" s="83"/>
      <c r="G30" s="79"/>
      <c r="H30" s="66">
        <f t="shared" si="1"/>
        <v>0</v>
      </c>
      <c r="I30" s="79"/>
      <c r="J30" s="266"/>
      <c r="K30" s="261"/>
      <c r="L30" s="261"/>
      <c r="M30" s="262"/>
      <c r="N30" s="71"/>
      <c r="O30" s="75"/>
      <c r="P30" s="75"/>
    </row>
    <row r="31" spans="1:16" s="4" customFormat="1">
      <c r="A31" s="81"/>
      <c r="B31" s="72" t="s">
        <v>33</v>
      </c>
      <c r="C31" s="242"/>
      <c r="D31" s="81"/>
      <c r="E31" s="82"/>
      <c r="F31" s="83"/>
      <c r="G31" s="79"/>
      <c r="H31" s="66">
        <f t="shared" si="1"/>
        <v>0</v>
      </c>
      <c r="I31" s="79"/>
      <c r="J31" s="266"/>
      <c r="K31" s="261"/>
      <c r="L31" s="261"/>
      <c r="M31" s="262"/>
      <c r="N31" s="71"/>
      <c r="O31" s="75"/>
      <c r="P31" s="75"/>
    </row>
    <row r="32" spans="1:16" s="4" customFormat="1" ht="27.75" customHeight="1">
      <c r="A32" s="68">
        <v>3</v>
      </c>
      <c r="B32" s="85" t="s">
        <v>140</v>
      </c>
      <c r="C32" s="241" t="s">
        <v>36</v>
      </c>
      <c r="D32" s="80" t="s">
        <v>135</v>
      </c>
      <c r="E32" s="70">
        <v>48561.15</v>
      </c>
      <c r="F32" s="70">
        <f>F33</f>
        <v>48036.250221223621</v>
      </c>
      <c r="G32" s="78"/>
      <c r="H32" s="66"/>
      <c r="I32" s="66"/>
      <c r="J32" s="258"/>
      <c r="K32" s="261"/>
      <c r="L32" s="261"/>
      <c r="M32" s="258"/>
      <c r="N32" s="71"/>
      <c r="O32" s="75"/>
      <c r="P32" s="75"/>
    </row>
    <row r="33" spans="1:16" s="4" customFormat="1">
      <c r="A33" s="68"/>
      <c r="B33" s="72" t="s">
        <v>86</v>
      </c>
      <c r="C33" s="241"/>
      <c r="D33" s="68"/>
      <c r="E33" s="80" t="s">
        <v>37</v>
      </c>
      <c r="F33" s="70">
        <f>G33/C4</f>
        <v>48036.250221223621</v>
      </c>
      <c r="G33" s="66">
        <f>F35*C4+H33</f>
        <v>267081.5512300033</v>
      </c>
      <c r="H33" s="66">
        <f t="shared" si="1"/>
        <v>2444</v>
      </c>
      <c r="I33" s="66"/>
      <c r="J33" s="258">
        <v>2444</v>
      </c>
      <c r="K33" s="261"/>
      <c r="L33" s="261"/>
      <c r="M33" s="262"/>
      <c r="N33" s="71"/>
      <c r="O33" s="75"/>
      <c r="P33" s="75"/>
    </row>
    <row r="34" spans="1:16" s="4" customFormat="1">
      <c r="A34" s="68"/>
      <c r="B34" s="72" t="s">
        <v>85</v>
      </c>
      <c r="C34" s="241"/>
      <c r="D34" s="68"/>
      <c r="E34" s="80"/>
      <c r="F34" s="70"/>
      <c r="G34" s="66"/>
      <c r="H34" s="66">
        <f t="shared" si="1"/>
        <v>0</v>
      </c>
      <c r="I34" s="66"/>
      <c r="J34" s="258"/>
      <c r="K34" s="261"/>
      <c r="L34" s="261"/>
      <c r="M34" s="262"/>
      <c r="N34" s="71"/>
      <c r="O34" s="75"/>
      <c r="P34" s="75"/>
    </row>
    <row r="35" spans="1:16" s="4" customFormat="1">
      <c r="A35" s="68"/>
      <c r="B35" s="72" t="s">
        <v>87</v>
      </c>
      <c r="C35" s="241"/>
      <c r="D35" s="68"/>
      <c r="E35" s="74"/>
      <c r="F35" s="70">
        <f>G35/E4</f>
        <v>47596.681875899878</v>
      </c>
      <c r="G35" s="66">
        <f>F36*E4+H35</f>
        <v>297320.28880690876</v>
      </c>
      <c r="H35" s="66">
        <f t="shared" si="1"/>
        <v>142536.4</v>
      </c>
      <c r="I35" s="66"/>
      <c r="J35" s="258">
        <v>142536.4</v>
      </c>
      <c r="K35" s="261"/>
      <c r="L35" s="261"/>
      <c r="M35" s="262"/>
      <c r="N35" s="71"/>
      <c r="O35" s="75"/>
      <c r="P35" s="75"/>
    </row>
    <row r="36" spans="1:16" s="4" customFormat="1">
      <c r="A36" s="68"/>
      <c r="B36" s="72" t="s">
        <v>31</v>
      </c>
      <c r="C36" s="241"/>
      <c r="D36" s="68"/>
      <c r="E36" s="74"/>
      <c r="F36" s="70">
        <f>G36/F4</f>
        <v>24778.663927108053</v>
      </c>
      <c r="G36" s="66">
        <f>F37*F4+H36</f>
        <v>165309.19324577862</v>
      </c>
      <c r="H36" s="66">
        <f t="shared" si="1"/>
        <v>100000</v>
      </c>
      <c r="I36" s="66"/>
      <c r="J36" s="258">
        <v>100000</v>
      </c>
      <c r="K36" s="261"/>
      <c r="L36" s="261">
        <v>283980.7</v>
      </c>
      <c r="M36" s="262"/>
      <c r="N36" s="71"/>
      <c r="O36" s="75"/>
      <c r="P36" s="75"/>
    </row>
    <row r="37" spans="1:16" s="4" customFormat="1">
      <c r="A37" s="68"/>
      <c r="B37" s="72" t="s">
        <v>32</v>
      </c>
      <c r="C37" s="241"/>
      <c r="D37" s="68"/>
      <c r="E37" s="74"/>
      <c r="F37" s="70">
        <f>G37/G4</f>
        <v>9789.3802456689937</v>
      </c>
      <c r="G37" s="66">
        <f>H37</f>
        <v>69619.600000000006</v>
      </c>
      <c r="H37" s="66">
        <f t="shared" si="1"/>
        <v>69619.600000000006</v>
      </c>
      <c r="I37" s="66"/>
      <c r="J37" s="258">
        <v>69619.600000000006</v>
      </c>
      <c r="K37" s="261"/>
      <c r="L37" s="261"/>
      <c r="M37" s="262"/>
      <c r="N37" s="71"/>
      <c r="O37" s="75"/>
      <c r="P37" s="75"/>
    </row>
    <row r="38" spans="1:16" s="4" customFormat="1">
      <c r="A38" s="68"/>
      <c r="B38" s="72" t="s">
        <v>33</v>
      </c>
      <c r="C38" s="241"/>
      <c r="D38" s="68"/>
      <c r="E38" s="74"/>
      <c r="F38" s="70"/>
      <c r="G38" s="66"/>
      <c r="H38" s="66">
        <f t="shared" si="1"/>
        <v>0</v>
      </c>
      <c r="I38" s="66"/>
      <c r="J38" s="258"/>
      <c r="K38" s="261"/>
      <c r="L38" s="261"/>
      <c r="M38" s="262"/>
      <c r="N38" s="71"/>
      <c r="O38" s="75"/>
      <c r="P38" s="75"/>
    </row>
    <row r="39" spans="1:16" s="4" customFormat="1" ht="43.5" customHeight="1">
      <c r="A39" s="68">
        <v>4</v>
      </c>
      <c r="B39" s="85" t="s">
        <v>201</v>
      </c>
      <c r="C39" s="241" t="s">
        <v>29</v>
      </c>
      <c r="D39" s="74" t="s">
        <v>289</v>
      </c>
      <c r="E39" s="70">
        <v>123094.27100686041</v>
      </c>
      <c r="F39" s="70">
        <v>123094.27100686041</v>
      </c>
      <c r="G39" s="86"/>
      <c r="H39" s="66"/>
      <c r="I39" s="66"/>
      <c r="J39" s="258"/>
      <c r="K39" s="261"/>
      <c r="L39" s="261"/>
      <c r="M39" s="258"/>
      <c r="N39" s="71"/>
      <c r="O39" s="75"/>
      <c r="P39" s="75"/>
    </row>
    <row r="40" spans="1:16" s="4" customFormat="1">
      <c r="A40" s="68"/>
      <c r="B40" s="72" t="s">
        <v>86</v>
      </c>
      <c r="C40" s="60"/>
      <c r="D40" s="68"/>
      <c r="E40" s="74" t="s">
        <v>37</v>
      </c>
      <c r="F40" s="70">
        <v>123094.27100686041</v>
      </c>
      <c r="G40" s="66">
        <v>684404.14679814386</v>
      </c>
      <c r="H40" s="66">
        <f t="shared" si="1"/>
        <v>12500</v>
      </c>
      <c r="I40" s="66"/>
      <c r="J40" s="258">
        <v>12500</v>
      </c>
      <c r="K40" s="261"/>
      <c r="L40" s="261"/>
      <c r="M40" s="262"/>
      <c r="N40" s="71"/>
      <c r="O40" s="75"/>
      <c r="P40" s="75"/>
    </row>
    <row r="41" spans="1:16" s="4" customFormat="1">
      <c r="A41" s="68"/>
      <c r="B41" s="72" t="s">
        <v>85</v>
      </c>
      <c r="C41" s="60"/>
      <c r="D41" s="68"/>
      <c r="E41" s="74"/>
      <c r="F41" s="70">
        <v>120846.06956801149</v>
      </c>
      <c r="G41" s="66">
        <v>705499.35413805104</v>
      </c>
      <c r="H41" s="66">
        <f t="shared" si="1"/>
        <v>4600.5</v>
      </c>
      <c r="I41" s="66"/>
      <c r="J41" s="258">
        <v>4600.5</v>
      </c>
      <c r="K41" s="261"/>
      <c r="L41" s="261"/>
      <c r="M41" s="262"/>
      <c r="N41" s="71"/>
      <c r="O41" s="75"/>
      <c r="P41" s="75"/>
    </row>
    <row r="42" spans="1:16" s="4" customFormat="1">
      <c r="A42" s="68"/>
      <c r="B42" s="72" t="s">
        <v>87</v>
      </c>
      <c r="C42" s="60"/>
      <c r="D42" s="68"/>
      <c r="E42" s="74"/>
      <c r="F42" s="70"/>
      <c r="G42" s="66"/>
      <c r="H42" s="66">
        <f t="shared" si="1"/>
        <v>0</v>
      </c>
      <c r="I42" s="66"/>
      <c r="J42" s="258"/>
      <c r="K42" s="261"/>
      <c r="L42" s="261"/>
      <c r="M42" s="262"/>
      <c r="N42" s="71"/>
      <c r="O42" s="75"/>
      <c r="P42" s="75"/>
    </row>
    <row r="43" spans="1:16" s="4" customFormat="1">
      <c r="A43" s="68"/>
      <c r="B43" s="72" t="s">
        <v>31</v>
      </c>
      <c r="C43" s="60"/>
      <c r="D43" s="68"/>
      <c r="E43" s="74"/>
      <c r="F43" s="70">
        <v>118807.70026345513</v>
      </c>
      <c r="G43" s="66">
        <v>792617.59793479939</v>
      </c>
      <c r="H43" s="66">
        <f t="shared" si="1"/>
        <v>20100</v>
      </c>
      <c r="I43" s="66"/>
      <c r="J43" s="258">
        <v>20100</v>
      </c>
      <c r="K43" s="261"/>
      <c r="L43" s="261"/>
      <c r="M43" s="262"/>
      <c r="N43" s="71"/>
      <c r="O43" s="75"/>
      <c r="P43" s="75"/>
    </row>
    <row r="44" spans="1:16" s="4" customFormat="1">
      <c r="A44" s="68"/>
      <c r="B44" s="72" t="s">
        <v>32</v>
      </c>
      <c r="C44" s="60"/>
      <c r="D44" s="68"/>
      <c r="E44" s="74"/>
      <c r="F44" s="70">
        <v>115794.85424348588</v>
      </c>
      <c r="G44" s="66">
        <v>823503.75939849624</v>
      </c>
      <c r="H44" s="66">
        <f t="shared" si="1"/>
        <v>222000</v>
      </c>
      <c r="I44" s="66"/>
      <c r="J44" s="258">
        <v>222000</v>
      </c>
      <c r="K44" s="261"/>
      <c r="L44" s="261"/>
      <c r="M44" s="262"/>
      <c r="N44" s="71"/>
      <c r="O44" s="75"/>
      <c r="P44" s="75"/>
    </row>
    <row r="45" spans="1:16" s="4" customFormat="1">
      <c r="A45" s="68"/>
      <c r="B45" s="72" t="s">
        <v>33</v>
      </c>
      <c r="C45" s="60"/>
      <c r="D45" s="68"/>
      <c r="E45" s="74"/>
      <c r="F45" s="70">
        <v>84578.897608594038</v>
      </c>
      <c r="G45" s="66">
        <v>640000</v>
      </c>
      <c r="H45" s="66">
        <f t="shared" si="1"/>
        <v>222000</v>
      </c>
      <c r="I45" s="66"/>
      <c r="J45" s="258">
        <v>222000</v>
      </c>
      <c r="K45" s="261"/>
      <c r="L45" s="261"/>
      <c r="M45" s="262"/>
      <c r="N45" s="71"/>
      <c r="O45" s="75"/>
      <c r="P45" s="75"/>
    </row>
    <row r="46" spans="1:16" s="4" customFormat="1" ht="28.5" customHeight="1">
      <c r="A46" s="68">
        <v>5</v>
      </c>
      <c r="B46" s="85" t="s">
        <v>226</v>
      </c>
      <c r="C46" s="241" t="s">
        <v>29</v>
      </c>
      <c r="D46" s="74" t="s">
        <v>291</v>
      </c>
      <c r="E46" s="70">
        <v>123019.39775283443</v>
      </c>
      <c r="F46" s="70">
        <v>123019.39775283443</v>
      </c>
      <c r="G46" s="86"/>
      <c r="H46" s="66"/>
      <c r="I46" s="66"/>
      <c r="J46" s="258"/>
      <c r="K46" s="261"/>
      <c r="L46" s="261"/>
      <c r="M46" s="258"/>
      <c r="N46" s="71"/>
      <c r="O46" s="75"/>
      <c r="P46" s="75"/>
    </row>
    <row r="47" spans="1:16" s="4" customFormat="1">
      <c r="A47" s="68"/>
      <c r="B47" s="72" t="s">
        <v>86</v>
      </c>
      <c r="C47" s="60"/>
      <c r="D47" s="68"/>
      <c r="E47" s="80" t="s">
        <v>37</v>
      </c>
      <c r="F47" s="70"/>
      <c r="G47" s="66"/>
      <c r="H47" s="66">
        <f t="shared" ref="H47:H52" si="2">I47+J47</f>
        <v>0</v>
      </c>
      <c r="I47" s="66"/>
      <c r="J47" s="258"/>
      <c r="K47" s="261"/>
      <c r="L47" s="261"/>
      <c r="M47" s="262"/>
      <c r="N47" s="71"/>
      <c r="O47" s="75"/>
      <c r="P47" s="75"/>
    </row>
    <row r="48" spans="1:16" s="4" customFormat="1">
      <c r="A48" s="68"/>
      <c r="B48" s="72" t="s">
        <v>85</v>
      </c>
      <c r="C48" s="60"/>
      <c r="D48" s="68"/>
      <c r="E48" s="74"/>
      <c r="F48" s="70">
        <v>123019.39775283443</v>
      </c>
      <c r="G48" s="66">
        <v>718187.24408104736</v>
      </c>
      <c r="H48" s="66">
        <f t="shared" si="2"/>
        <v>4000</v>
      </c>
      <c r="I48" s="66"/>
      <c r="J48" s="258">
        <v>4000</v>
      </c>
      <c r="K48" s="261"/>
      <c r="L48" s="261"/>
      <c r="M48" s="262"/>
      <c r="N48" s="71"/>
      <c r="O48" s="75"/>
      <c r="P48" s="75"/>
    </row>
    <row r="49" spans="1:16" s="4" customFormat="1">
      <c r="A49" s="68"/>
      <c r="B49" s="72" t="s">
        <v>87</v>
      </c>
      <c r="C49" s="60"/>
      <c r="D49" s="68"/>
      <c r="E49" s="74"/>
      <c r="F49" s="70">
        <v>122334.23160004237</v>
      </c>
      <c r="G49" s="66">
        <v>764180.35116672073</v>
      </c>
      <c r="H49" s="66">
        <f t="shared" si="2"/>
        <v>8000</v>
      </c>
      <c r="I49" s="66"/>
      <c r="J49" s="258">
        <v>8000</v>
      </c>
      <c r="K49" s="261"/>
      <c r="L49" s="261"/>
      <c r="M49" s="262"/>
      <c r="N49" s="71"/>
      <c r="O49" s="75"/>
      <c r="P49" s="75"/>
    </row>
    <row r="50" spans="1:16" s="4" customFormat="1">
      <c r="A50" s="68"/>
      <c r="B50" s="72" t="s">
        <v>31</v>
      </c>
      <c r="C50" s="60"/>
      <c r="D50" s="68"/>
      <c r="E50" s="74"/>
      <c r="F50" s="70"/>
      <c r="G50" s="66"/>
      <c r="H50" s="66">
        <f t="shared" si="2"/>
        <v>0</v>
      </c>
      <c r="I50" s="66"/>
      <c r="J50" s="258"/>
      <c r="K50" s="261"/>
      <c r="L50" s="261"/>
      <c r="M50" s="262"/>
      <c r="N50" s="71"/>
      <c r="O50" s="75"/>
      <c r="P50" s="75"/>
    </row>
    <row r="51" spans="1:16" s="4" customFormat="1">
      <c r="A51" s="68"/>
      <c r="B51" s="72" t="s">
        <v>32</v>
      </c>
      <c r="C51" s="60"/>
      <c r="D51" s="68"/>
      <c r="E51" s="74"/>
      <c r="F51" s="70">
        <v>121053.54720230022</v>
      </c>
      <c r="G51" s="66">
        <v>860902.25563909777</v>
      </c>
      <c r="H51" s="66">
        <f t="shared" si="2"/>
        <v>149820.29999999999</v>
      </c>
      <c r="I51" s="66"/>
      <c r="J51" s="258">
        <v>149820.29999999999</v>
      </c>
      <c r="K51" s="261"/>
      <c r="L51" s="261"/>
      <c r="M51" s="258">
        <v>100179.7</v>
      </c>
      <c r="N51" s="71"/>
      <c r="O51" s="75"/>
      <c r="P51" s="75"/>
    </row>
    <row r="52" spans="1:16" s="4" customFormat="1">
      <c r="A52" s="68"/>
      <c r="B52" s="72" t="s">
        <v>33</v>
      </c>
      <c r="C52" s="60"/>
      <c r="D52" s="68"/>
      <c r="E52" s="74"/>
      <c r="F52" s="70">
        <v>85900.442883728319</v>
      </c>
      <c r="G52" s="66">
        <v>650000</v>
      </c>
      <c r="H52" s="66">
        <f t="shared" si="2"/>
        <v>250000</v>
      </c>
      <c r="I52" s="66"/>
      <c r="J52" s="258">
        <v>250000</v>
      </c>
      <c r="K52" s="261"/>
      <c r="L52" s="261"/>
      <c r="M52" s="262"/>
      <c r="N52" s="71"/>
      <c r="O52" s="75"/>
      <c r="P52" s="75"/>
    </row>
    <row r="53" spans="1:16" s="4" customFormat="1" ht="27" customHeight="1">
      <c r="A53" s="68">
        <v>6</v>
      </c>
      <c r="B53" s="85" t="s">
        <v>38</v>
      </c>
      <c r="C53" s="241" t="s">
        <v>29</v>
      </c>
      <c r="D53" s="74" t="s">
        <v>41</v>
      </c>
      <c r="E53" s="70">
        <v>171332.6</v>
      </c>
      <c r="F53" s="70">
        <v>171332.6</v>
      </c>
      <c r="G53" s="86"/>
      <c r="H53" s="66"/>
      <c r="I53" s="66"/>
      <c r="J53" s="258"/>
      <c r="K53" s="261"/>
      <c r="L53" s="261"/>
      <c r="M53" s="258"/>
      <c r="N53" s="71"/>
      <c r="O53" s="75"/>
      <c r="P53" s="75"/>
    </row>
    <row r="54" spans="1:16" s="4" customFormat="1">
      <c r="A54" s="68"/>
      <c r="B54" s="72" t="s">
        <v>86</v>
      </c>
      <c r="C54" s="60"/>
      <c r="D54" s="68"/>
      <c r="E54" s="80" t="s">
        <v>37</v>
      </c>
      <c r="F54" s="70"/>
      <c r="G54" s="66"/>
      <c r="H54" s="66">
        <f t="shared" ref="H54:H59" si="3">I54+J54</f>
        <v>0</v>
      </c>
      <c r="I54" s="66"/>
      <c r="J54" s="258"/>
      <c r="K54" s="261"/>
      <c r="L54" s="261"/>
      <c r="M54" s="262"/>
      <c r="N54" s="71"/>
      <c r="O54" s="75"/>
      <c r="P54" s="75"/>
    </row>
    <row r="55" spans="1:16" s="4" customFormat="1">
      <c r="A55" s="68"/>
      <c r="B55" s="72" t="s">
        <v>85</v>
      </c>
      <c r="C55" s="60"/>
      <c r="D55" s="68"/>
      <c r="E55" s="74"/>
      <c r="F55" s="70"/>
      <c r="G55" s="66"/>
      <c r="H55" s="66">
        <f t="shared" si="3"/>
        <v>0</v>
      </c>
      <c r="I55" s="66"/>
      <c r="J55" s="258"/>
      <c r="K55" s="261"/>
      <c r="L55" s="261"/>
      <c r="M55" s="262"/>
      <c r="N55" s="71"/>
      <c r="O55" s="75"/>
      <c r="P55" s="75"/>
    </row>
    <row r="56" spans="1:16" s="4" customFormat="1">
      <c r="A56" s="68"/>
      <c r="B56" s="72" t="s">
        <v>87</v>
      </c>
      <c r="C56" s="60"/>
      <c r="D56" s="68"/>
      <c r="E56" s="74"/>
      <c r="F56" s="70"/>
      <c r="G56" s="66"/>
      <c r="H56" s="66">
        <f t="shared" si="3"/>
        <v>0</v>
      </c>
      <c r="I56" s="66"/>
      <c r="J56" s="258"/>
      <c r="K56" s="261"/>
      <c r="L56" s="261"/>
      <c r="M56" s="262"/>
      <c r="N56" s="71"/>
      <c r="O56" s="75"/>
      <c r="P56" s="75"/>
    </row>
    <row r="57" spans="1:16" s="4" customFormat="1">
      <c r="A57" s="68"/>
      <c r="B57" s="72" t="s">
        <v>31</v>
      </c>
      <c r="C57" s="60"/>
      <c r="D57" s="68"/>
      <c r="E57" s="74"/>
      <c r="F57" s="70"/>
      <c r="G57" s="66"/>
      <c r="H57" s="66">
        <f t="shared" si="3"/>
        <v>0</v>
      </c>
      <c r="I57" s="66"/>
      <c r="J57" s="258"/>
      <c r="K57" s="261"/>
      <c r="L57" s="261"/>
      <c r="M57" s="262"/>
      <c r="N57" s="71"/>
      <c r="O57" s="75"/>
      <c r="P57" s="75"/>
    </row>
    <row r="58" spans="1:16" s="4" customFormat="1">
      <c r="A58" s="68"/>
      <c r="B58" s="72" t="s">
        <v>32</v>
      </c>
      <c r="C58" s="60"/>
      <c r="D58" s="68"/>
      <c r="E58" s="74"/>
      <c r="F58" s="70"/>
      <c r="G58" s="66"/>
      <c r="H58" s="66">
        <f t="shared" si="3"/>
        <v>0</v>
      </c>
      <c r="I58" s="66"/>
      <c r="J58" s="258"/>
      <c r="K58" s="261"/>
      <c r="L58" s="261"/>
      <c r="M58" s="262"/>
      <c r="N58" s="71"/>
      <c r="O58" s="75"/>
      <c r="P58" s="75"/>
    </row>
    <row r="59" spans="1:16" s="4" customFormat="1">
      <c r="A59" s="68"/>
      <c r="B59" s="72" t="s">
        <v>33</v>
      </c>
      <c r="C59" s="60"/>
      <c r="D59" s="68"/>
      <c r="E59" s="74"/>
      <c r="F59" s="70">
        <f>F53</f>
        <v>171332.6</v>
      </c>
      <c r="G59" s="66">
        <f>F59*H4</f>
        <v>1296456.5287601738</v>
      </c>
      <c r="H59" s="66">
        <f t="shared" si="3"/>
        <v>0</v>
      </c>
      <c r="I59" s="66"/>
      <c r="J59" s="258"/>
      <c r="K59" s="261"/>
      <c r="L59" s="261"/>
      <c r="M59" s="258">
        <v>200000</v>
      </c>
      <c r="N59" s="71"/>
      <c r="O59" s="75"/>
      <c r="P59" s="75"/>
    </row>
    <row r="60" spans="1:16" s="4" customFormat="1" ht="24.75" customHeight="1">
      <c r="A60" s="68">
        <v>7</v>
      </c>
      <c r="B60" s="370" t="s">
        <v>42</v>
      </c>
      <c r="C60" s="374" t="s">
        <v>43</v>
      </c>
      <c r="D60" s="80" t="s">
        <v>44</v>
      </c>
      <c r="E60" s="70">
        <v>29032.3</v>
      </c>
      <c r="F60" s="70">
        <f>F64</f>
        <v>22933.604032601761</v>
      </c>
      <c r="G60" s="78"/>
      <c r="H60" s="66"/>
      <c r="I60" s="66"/>
      <c r="J60" s="258"/>
      <c r="K60" s="261"/>
      <c r="L60" s="261"/>
      <c r="M60" s="258"/>
      <c r="N60" s="71"/>
      <c r="O60" s="75"/>
      <c r="P60" s="75"/>
    </row>
    <row r="61" spans="1:16" s="4" customFormat="1">
      <c r="A61" s="68"/>
      <c r="B61" s="72" t="s">
        <v>86</v>
      </c>
      <c r="C61" s="60"/>
      <c r="D61" s="68"/>
      <c r="E61" s="80" t="s">
        <v>37</v>
      </c>
      <c r="F61" s="70"/>
      <c r="G61" s="66"/>
      <c r="H61" s="66">
        <f t="shared" si="1"/>
        <v>0</v>
      </c>
      <c r="I61" s="66"/>
      <c r="J61" s="258"/>
      <c r="K61" s="261"/>
      <c r="L61" s="261"/>
      <c r="M61" s="262"/>
      <c r="N61" s="235">
        <f>J61+J75+J82+J89+J103+J117+J124+J131+J145+J152</f>
        <v>41800</v>
      </c>
      <c r="O61" s="75"/>
      <c r="P61" s="75"/>
    </row>
    <row r="62" spans="1:16" s="4" customFormat="1">
      <c r="A62" s="68"/>
      <c r="B62" s="72" t="s">
        <v>85</v>
      </c>
      <c r="C62" s="60"/>
      <c r="D62" s="68"/>
      <c r="E62" s="74"/>
      <c r="F62" s="70"/>
      <c r="G62" s="66"/>
      <c r="H62" s="66">
        <f t="shared" si="1"/>
        <v>0</v>
      </c>
      <c r="I62" s="66"/>
      <c r="J62" s="258"/>
      <c r="K62" s="261"/>
      <c r="L62" s="261"/>
      <c r="M62" s="262"/>
      <c r="N62" s="235">
        <f t="shared" ref="N62:N66" si="4">J62+J69+J76+J83+J90+J104+J111+J118+J125+J132+J139+J146+J153</f>
        <v>184970</v>
      </c>
      <c r="O62" s="75"/>
      <c r="P62" s="75"/>
    </row>
    <row r="63" spans="1:16" s="4" customFormat="1">
      <c r="A63" s="68"/>
      <c r="B63" s="72" t="s">
        <v>87</v>
      </c>
      <c r="C63" s="60"/>
      <c r="D63" s="68"/>
      <c r="E63" s="74"/>
      <c r="F63" s="70"/>
      <c r="G63" s="66"/>
      <c r="H63" s="66">
        <f t="shared" si="1"/>
        <v>0</v>
      </c>
      <c r="I63" s="66"/>
      <c r="J63" s="258"/>
      <c r="K63" s="261"/>
      <c r="L63" s="261"/>
      <c r="M63" s="262"/>
      <c r="N63" s="235">
        <f t="shared" si="4"/>
        <v>162440</v>
      </c>
      <c r="O63" s="75"/>
      <c r="P63" s="75"/>
    </row>
    <row r="64" spans="1:16" s="4" customFormat="1">
      <c r="A64" s="68"/>
      <c r="B64" s="72" t="s">
        <v>31</v>
      </c>
      <c r="C64" s="60"/>
      <c r="D64" s="68"/>
      <c r="E64" s="74"/>
      <c r="F64" s="70">
        <f>G64/F4</f>
        <v>22933.604032601761</v>
      </c>
      <c r="G64" s="66">
        <f>H64</f>
        <v>153000</v>
      </c>
      <c r="H64" s="66">
        <f t="shared" si="1"/>
        <v>153000</v>
      </c>
      <c r="I64" s="66"/>
      <c r="J64" s="258">
        <v>153000</v>
      </c>
      <c r="K64" s="261"/>
      <c r="L64" s="261"/>
      <c r="M64" s="262"/>
      <c r="N64" s="235">
        <f t="shared" si="4"/>
        <v>153000</v>
      </c>
      <c r="O64" s="75"/>
      <c r="P64" s="75"/>
    </row>
    <row r="65" spans="1:16" s="4" customFormat="1">
      <c r="A65" s="68"/>
      <c r="B65" s="72" t="s">
        <v>32</v>
      </c>
      <c r="C65" s="60"/>
      <c r="D65" s="68"/>
      <c r="E65" s="74"/>
      <c r="F65" s="70"/>
      <c r="G65" s="66"/>
      <c r="H65" s="66">
        <f t="shared" si="1"/>
        <v>0</v>
      </c>
      <c r="I65" s="66"/>
      <c r="J65" s="258"/>
      <c r="K65" s="261"/>
      <c r="L65" s="261"/>
      <c r="M65" s="262"/>
      <c r="N65" s="235">
        <f t="shared" si="4"/>
        <v>170000</v>
      </c>
      <c r="O65" s="75"/>
      <c r="P65" s="75"/>
    </row>
    <row r="66" spans="1:16" s="4" customFormat="1">
      <c r="A66" s="68"/>
      <c r="B66" s="72" t="s">
        <v>33</v>
      </c>
      <c r="C66" s="60"/>
      <c r="D66" s="68"/>
      <c r="E66" s="74"/>
      <c r="F66" s="70"/>
      <c r="G66" s="66"/>
      <c r="H66" s="66">
        <f t="shared" si="1"/>
        <v>0</v>
      </c>
      <c r="I66" s="66"/>
      <c r="J66" s="258"/>
      <c r="K66" s="261"/>
      <c r="L66" s="261"/>
      <c r="M66" s="262"/>
      <c r="N66" s="235">
        <f t="shared" si="4"/>
        <v>267610.2</v>
      </c>
      <c r="O66" s="75"/>
      <c r="P66" s="75"/>
    </row>
    <row r="67" spans="1:16" s="4" customFormat="1" ht="25.5">
      <c r="A67" s="68">
        <v>8</v>
      </c>
      <c r="B67" s="87" t="s">
        <v>367</v>
      </c>
      <c r="C67" s="241" t="s">
        <v>45</v>
      </c>
      <c r="D67" s="80" t="s">
        <v>290</v>
      </c>
      <c r="E67" s="80">
        <v>36511.1</v>
      </c>
      <c r="F67" s="80">
        <f>F72</f>
        <v>0</v>
      </c>
      <c r="G67" s="80"/>
      <c r="H67" s="79"/>
      <c r="I67" s="79"/>
      <c r="J67" s="266"/>
      <c r="K67" s="261"/>
      <c r="L67" s="261"/>
      <c r="M67" s="258"/>
      <c r="N67" s="235">
        <f t="shared" ref="N67" si="5">J67+J74+J81+J88+J95+J109+J116+J123+J130+J137+J144+J151+J158+J165</f>
        <v>0</v>
      </c>
      <c r="O67" s="75"/>
      <c r="P67" s="75"/>
    </row>
    <row r="68" spans="1:16" s="4" customFormat="1">
      <c r="A68" s="81"/>
      <c r="B68" s="87" t="s">
        <v>86</v>
      </c>
      <c r="C68" s="241"/>
      <c r="D68" s="80"/>
      <c r="E68" s="80" t="s">
        <v>37</v>
      </c>
      <c r="F68" s="80"/>
      <c r="G68" s="80"/>
      <c r="H68" s="66">
        <f>I68+J68</f>
        <v>0</v>
      </c>
      <c r="I68" s="79"/>
      <c r="J68" s="266"/>
      <c r="K68" s="261"/>
      <c r="L68" s="261"/>
      <c r="M68" s="262"/>
      <c r="N68" s="71"/>
      <c r="O68" s="75"/>
      <c r="P68" s="75"/>
    </row>
    <row r="69" spans="1:16" s="4" customFormat="1">
      <c r="A69" s="81"/>
      <c r="B69" s="87" t="s">
        <v>85</v>
      </c>
      <c r="C69" s="242"/>
      <c r="D69" s="81"/>
      <c r="E69" s="82"/>
      <c r="F69" s="83"/>
      <c r="G69" s="79"/>
      <c r="H69" s="66">
        <f t="shared" ref="H69:H73" si="6">I69+J69</f>
        <v>0</v>
      </c>
      <c r="I69" s="79"/>
      <c r="J69" s="266"/>
      <c r="K69" s="261"/>
      <c r="L69" s="261"/>
      <c r="M69" s="262"/>
      <c r="N69" s="71"/>
      <c r="O69" s="75"/>
      <c r="P69" s="75"/>
    </row>
    <row r="70" spans="1:16" s="4" customFormat="1">
      <c r="A70" s="81"/>
      <c r="B70" s="87" t="s">
        <v>87</v>
      </c>
      <c r="C70" s="242"/>
      <c r="D70" s="81"/>
      <c r="E70" s="82"/>
      <c r="F70" s="83"/>
      <c r="G70" s="79"/>
      <c r="H70" s="66">
        <f t="shared" si="6"/>
        <v>0</v>
      </c>
      <c r="I70" s="79"/>
      <c r="J70" s="266"/>
      <c r="K70" s="261"/>
      <c r="L70" s="261"/>
      <c r="M70" s="262"/>
      <c r="N70" s="71"/>
      <c r="O70" s="75"/>
      <c r="P70" s="75"/>
    </row>
    <row r="71" spans="1:16" s="4" customFormat="1">
      <c r="A71" s="81"/>
      <c r="B71" s="87" t="s">
        <v>31</v>
      </c>
      <c r="C71" s="242"/>
      <c r="D71" s="81"/>
      <c r="E71" s="82"/>
      <c r="F71" s="83"/>
      <c r="G71" s="79"/>
      <c r="H71" s="66">
        <f t="shared" si="6"/>
        <v>0</v>
      </c>
      <c r="I71" s="79"/>
      <c r="J71" s="266"/>
      <c r="K71" s="261"/>
      <c r="L71" s="261"/>
      <c r="M71" s="262"/>
      <c r="N71" s="71"/>
      <c r="O71" s="75"/>
      <c r="P71" s="75"/>
    </row>
    <row r="72" spans="1:16" s="4" customFormat="1">
      <c r="A72" s="81"/>
      <c r="B72" s="87" t="s">
        <v>32</v>
      </c>
      <c r="C72" s="242"/>
      <c r="D72" s="81"/>
      <c r="E72" s="82"/>
      <c r="F72" s="66">
        <f>G72/G4</f>
        <v>0</v>
      </c>
      <c r="G72" s="66">
        <f>H72+F73*G4</f>
        <v>0</v>
      </c>
      <c r="H72" s="66">
        <f t="shared" si="6"/>
        <v>0</v>
      </c>
      <c r="I72" s="66"/>
      <c r="J72" s="234"/>
      <c r="K72" s="261"/>
      <c r="L72" s="261"/>
      <c r="M72" s="258">
        <v>160936</v>
      </c>
      <c r="N72" s="71"/>
      <c r="O72" s="75"/>
      <c r="P72" s="75"/>
    </row>
    <row r="73" spans="1:16" s="4" customFormat="1">
      <c r="A73" s="81"/>
      <c r="B73" s="370" t="s">
        <v>33</v>
      </c>
      <c r="C73" s="371"/>
      <c r="D73" s="81"/>
      <c r="E73" s="82"/>
      <c r="F73" s="66">
        <f>G73/H4</f>
        <v>0</v>
      </c>
      <c r="G73" s="66">
        <f>H73</f>
        <v>0</v>
      </c>
      <c r="H73" s="66">
        <f t="shared" si="6"/>
        <v>0</v>
      </c>
      <c r="I73" s="66"/>
      <c r="J73" s="234"/>
      <c r="K73" s="261"/>
      <c r="L73" s="261"/>
      <c r="M73" s="258">
        <v>30930</v>
      </c>
      <c r="N73" s="71"/>
      <c r="O73" s="75"/>
      <c r="P73" s="75"/>
    </row>
    <row r="74" spans="1:16" s="4" customFormat="1" ht="21.75" customHeight="1">
      <c r="A74" s="68">
        <v>9</v>
      </c>
      <c r="B74" s="370" t="s">
        <v>46</v>
      </c>
      <c r="C74" s="374" t="s">
        <v>47</v>
      </c>
      <c r="D74" s="80" t="s">
        <v>78</v>
      </c>
      <c r="E74" s="80">
        <v>63647.199999999997</v>
      </c>
      <c r="F74" s="80">
        <f>F79</f>
        <v>23904.110936628891</v>
      </c>
      <c r="G74" s="80"/>
      <c r="H74" s="79"/>
      <c r="I74" s="79"/>
      <c r="J74" s="266"/>
      <c r="K74" s="261"/>
      <c r="L74" s="261"/>
      <c r="M74" s="258"/>
      <c r="N74" s="71"/>
      <c r="O74" s="75"/>
      <c r="P74" s="75"/>
    </row>
    <row r="75" spans="1:16" s="4" customFormat="1">
      <c r="A75" s="81"/>
      <c r="B75" s="370" t="s">
        <v>86</v>
      </c>
      <c r="C75" s="371"/>
      <c r="D75" s="81"/>
      <c r="E75" s="80" t="s">
        <v>37</v>
      </c>
      <c r="F75" s="83"/>
      <c r="G75" s="79"/>
      <c r="H75" s="66">
        <f t="shared" si="1"/>
        <v>0</v>
      </c>
      <c r="I75" s="79"/>
      <c r="J75" s="266"/>
      <c r="K75" s="261"/>
      <c r="L75" s="261"/>
      <c r="M75" s="262"/>
      <c r="N75" s="71"/>
      <c r="O75" s="75"/>
      <c r="P75" s="75"/>
    </row>
    <row r="76" spans="1:16" s="4" customFormat="1">
      <c r="A76" s="81"/>
      <c r="B76" s="370" t="s">
        <v>85</v>
      </c>
      <c r="C76" s="371"/>
      <c r="D76" s="81"/>
      <c r="E76" s="82"/>
      <c r="F76" s="83"/>
      <c r="G76" s="79"/>
      <c r="H76" s="66">
        <f t="shared" si="1"/>
        <v>0</v>
      </c>
      <c r="I76" s="79"/>
      <c r="J76" s="266"/>
      <c r="K76" s="261"/>
      <c r="L76" s="261"/>
      <c r="M76" s="262"/>
      <c r="N76" s="71"/>
      <c r="O76" s="75"/>
      <c r="P76" s="75"/>
    </row>
    <row r="77" spans="1:16" s="4" customFormat="1">
      <c r="A77" s="81"/>
      <c r="B77" s="370" t="s">
        <v>87</v>
      </c>
      <c r="C77" s="371"/>
      <c r="D77" s="81"/>
      <c r="E77" s="82"/>
      <c r="F77" s="83"/>
      <c r="G77" s="79"/>
      <c r="H77" s="66">
        <f t="shared" si="1"/>
        <v>0</v>
      </c>
      <c r="I77" s="79"/>
      <c r="J77" s="266"/>
      <c r="K77" s="261"/>
      <c r="L77" s="261"/>
      <c r="M77" s="262"/>
      <c r="N77" s="71"/>
      <c r="O77" s="75"/>
      <c r="P77" s="75"/>
    </row>
    <row r="78" spans="1:16" s="4" customFormat="1">
      <c r="A78" s="81"/>
      <c r="B78" s="370" t="s">
        <v>31</v>
      </c>
      <c r="C78" s="371"/>
      <c r="D78" s="81"/>
      <c r="E78" s="82"/>
      <c r="F78" s="83"/>
      <c r="G78" s="79"/>
      <c r="H78" s="66">
        <f t="shared" si="1"/>
        <v>0</v>
      </c>
      <c r="I78" s="79"/>
      <c r="J78" s="266"/>
      <c r="K78" s="261"/>
      <c r="L78" s="261"/>
      <c r="M78" s="262"/>
      <c r="N78" s="71"/>
      <c r="O78" s="75"/>
      <c r="P78" s="75"/>
    </row>
    <row r="79" spans="1:16" s="4" customFormat="1">
      <c r="A79" s="81"/>
      <c r="B79" s="370" t="s">
        <v>32</v>
      </c>
      <c r="C79" s="371"/>
      <c r="D79" s="81"/>
      <c r="E79" s="82"/>
      <c r="F79" s="66">
        <f>G79/G4</f>
        <v>23904.110936628891</v>
      </c>
      <c r="G79" s="66">
        <f>H79+F80*G17</f>
        <v>170000</v>
      </c>
      <c r="H79" s="66">
        <f t="shared" si="1"/>
        <v>170000</v>
      </c>
      <c r="I79" s="66"/>
      <c r="J79" s="258">
        <v>170000</v>
      </c>
      <c r="K79" s="261"/>
      <c r="L79" s="261"/>
      <c r="M79" s="262"/>
      <c r="N79" s="71"/>
      <c r="O79" s="75"/>
      <c r="P79" s="75"/>
    </row>
    <row r="80" spans="1:16" s="4" customFormat="1">
      <c r="A80" s="81"/>
      <c r="B80" s="370" t="s">
        <v>33</v>
      </c>
      <c r="C80" s="371"/>
      <c r="D80" s="81"/>
      <c r="E80" s="82"/>
      <c r="F80" s="66">
        <f>G80/H4</f>
        <v>6607.7263756714092</v>
      </c>
      <c r="G80" s="66">
        <f>H80</f>
        <v>50000</v>
      </c>
      <c r="H80" s="66">
        <f>I80+J80</f>
        <v>50000</v>
      </c>
      <c r="I80" s="66"/>
      <c r="J80" s="258">
        <v>50000</v>
      </c>
      <c r="K80" s="261"/>
      <c r="L80" s="261"/>
      <c r="M80" s="262"/>
      <c r="N80" s="71"/>
      <c r="O80" s="75"/>
      <c r="P80" s="75"/>
    </row>
    <row r="81" spans="1:16" s="4" customFormat="1" ht="25.5">
      <c r="A81" s="68">
        <v>10</v>
      </c>
      <c r="B81" s="370" t="s">
        <v>48</v>
      </c>
      <c r="C81" s="374" t="s">
        <v>47</v>
      </c>
      <c r="D81" s="80" t="s">
        <v>41</v>
      </c>
      <c r="E81" s="80">
        <v>63647.199999999997</v>
      </c>
      <c r="F81" s="80">
        <v>63604.6</v>
      </c>
      <c r="G81" s="80"/>
      <c r="H81" s="79"/>
      <c r="I81" s="79"/>
      <c r="J81" s="266"/>
      <c r="K81" s="261"/>
      <c r="L81" s="261"/>
      <c r="M81" s="258"/>
      <c r="N81" s="71"/>
      <c r="O81" s="75"/>
      <c r="P81" s="75"/>
    </row>
    <row r="82" spans="1:16" s="4" customFormat="1">
      <c r="A82" s="81"/>
      <c r="B82" s="87" t="s">
        <v>86</v>
      </c>
      <c r="C82" s="242"/>
      <c r="D82" s="81"/>
      <c r="E82" s="80" t="s">
        <v>37</v>
      </c>
      <c r="F82" s="83"/>
      <c r="G82" s="79"/>
      <c r="H82" s="66">
        <f t="shared" si="1"/>
        <v>0</v>
      </c>
      <c r="I82" s="79"/>
      <c r="J82" s="266"/>
      <c r="K82" s="261"/>
      <c r="L82" s="261"/>
      <c r="M82" s="262"/>
      <c r="N82" s="71"/>
      <c r="O82" s="75"/>
      <c r="P82" s="75"/>
    </row>
    <row r="83" spans="1:16" s="4" customFormat="1">
      <c r="A83" s="81"/>
      <c r="B83" s="370" t="s">
        <v>85</v>
      </c>
      <c r="C83" s="371"/>
      <c r="D83" s="81"/>
      <c r="E83" s="82"/>
      <c r="F83" s="83"/>
      <c r="G83" s="79"/>
      <c r="H83" s="66">
        <f t="shared" si="1"/>
        <v>0</v>
      </c>
      <c r="I83" s="79"/>
      <c r="J83" s="266"/>
      <c r="K83" s="261"/>
      <c r="L83" s="261"/>
      <c r="M83" s="262"/>
      <c r="N83" s="71"/>
      <c r="O83" s="75"/>
      <c r="P83" s="75"/>
    </row>
    <row r="84" spans="1:16" s="4" customFormat="1">
      <c r="A84" s="81"/>
      <c r="B84" s="370" t="s">
        <v>87</v>
      </c>
      <c r="C84" s="371"/>
      <c r="D84" s="81"/>
      <c r="E84" s="82"/>
      <c r="F84" s="83"/>
      <c r="G84" s="79"/>
      <c r="H84" s="66">
        <f t="shared" si="1"/>
        <v>0</v>
      </c>
      <c r="I84" s="79"/>
      <c r="J84" s="266"/>
      <c r="K84" s="261"/>
      <c r="L84" s="261"/>
      <c r="M84" s="262"/>
      <c r="N84" s="71"/>
      <c r="O84" s="75"/>
      <c r="P84" s="75"/>
    </row>
    <row r="85" spans="1:16" s="4" customFormat="1">
      <c r="A85" s="81"/>
      <c r="B85" s="370" t="s">
        <v>31</v>
      </c>
      <c r="C85" s="371"/>
      <c r="D85" s="81"/>
      <c r="E85" s="82"/>
      <c r="F85" s="83"/>
      <c r="G85" s="79"/>
      <c r="H85" s="66">
        <f t="shared" si="1"/>
        <v>0</v>
      </c>
      <c r="I85" s="79"/>
      <c r="J85" s="266"/>
      <c r="K85" s="261"/>
      <c r="L85" s="261"/>
      <c r="M85" s="262"/>
      <c r="N85" s="71"/>
      <c r="O85" s="75"/>
      <c r="P85" s="75"/>
    </row>
    <row r="86" spans="1:16" s="4" customFormat="1">
      <c r="A86" s="81"/>
      <c r="B86" s="370" t="s">
        <v>32</v>
      </c>
      <c r="C86" s="372"/>
      <c r="D86" s="81"/>
      <c r="E86" s="82"/>
      <c r="F86" s="83"/>
      <c r="G86" s="79"/>
      <c r="H86" s="66">
        <f t="shared" si="1"/>
        <v>0</v>
      </c>
      <c r="I86" s="79"/>
      <c r="J86" s="266"/>
      <c r="K86" s="261"/>
      <c r="L86" s="261"/>
      <c r="M86" s="262"/>
      <c r="N86" s="71"/>
      <c r="O86" s="75"/>
      <c r="P86" s="75"/>
    </row>
    <row r="87" spans="1:16" s="4" customFormat="1">
      <c r="A87" s="81"/>
      <c r="B87" s="370" t="s">
        <v>33</v>
      </c>
      <c r="C87" s="372"/>
      <c r="D87" s="81"/>
      <c r="E87" s="82"/>
      <c r="F87" s="80">
        <f>F81</f>
        <v>63604.6</v>
      </c>
      <c r="G87" s="80">
        <f>F87*H4</f>
        <v>481289.6023826134</v>
      </c>
      <c r="H87" s="66">
        <f t="shared" si="1"/>
        <v>45610.2</v>
      </c>
      <c r="I87" s="66"/>
      <c r="J87" s="258">
        <v>45610.2</v>
      </c>
      <c r="K87" s="261"/>
      <c r="L87" s="261"/>
      <c r="M87" s="258">
        <v>54389.8</v>
      </c>
      <c r="N87" s="71"/>
      <c r="O87" s="75"/>
      <c r="P87" s="75"/>
    </row>
    <row r="88" spans="1:16" s="4" customFormat="1" ht="25.5">
      <c r="A88" s="68">
        <v>11</v>
      </c>
      <c r="B88" s="373" t="s">
        <v>49</v>
      </c>
      <c r="C88" s="374" t="s">
        <v>47</v>
      </c>
      <c r="D88" s="80" t="s">
        <v>50</v>
      </c>
      <c r="E88" s="74">
        <v>59177.599999999999</v>
      </c>
      <c r="F88" s="70">
        <f>F89</f>
        <v>38099.19492977047</v>
      </c>
      <c r="G88" s="78"/>
      <c r="H88" s="66"/>
      <c r="I88" s="66"/>
      <c r="J88" s="258"/>
      <c r="K88" s="261"/>
      <c r="L88" s="261"/>
      <c r="M88" s="258"/>
      <c r="N88" s="71"/>
      <c r="O88" s="75"/>
      <c r="P88" s="75"/>
    </row>
    <row r="89" spans="1:16" s="4" customFormat="1">
      <c r="A89" s="68"/>
      <c r="B89" s="360" t="s">
        <v>86</v>
      </c>
      <c r="C89" s="375"/>
      <c r="D89" s="68"/>
      <c r="E89" s="74" t="s">
        <v>30</v>
      </c>
      <c r="F89" s="70">
        <f>G89/C4</f>
        <v>38099.19492977047</v>
      </c>
      <c r="G89" s="66">
        <f>H89+F90*C4</f>
        <v>211831.52380952379</v>
      </c>
      <c r="H89" s="66">
        <f t="shared" si="1"/>
        <v>41622</v>
      </c>
      <c r="I89" s="66"/>
      <c r="J89" s="258">
        <v>41622</v>
      </c>
      <c r="K89" s="261"/>
      <c r="L89" s="261"/>
      <c r="M89" s="262"/>
      <c r="N89" s="71"/>
      <c r="O89" s="75"/>
      <c r="P89" s="75"/>
    </row>
    <row r="90" spans="1:16" s="4" customFormat="1">
      <c r="A90" s="68"/>
      <c r="B90" s="360" t="s">
        <v>85</v>
      </c>
      <c r="C90" s="375"/>
      <c r="D90" s="68"/>
      <c r="E90" s="74"/>
      <c r="F90" s="70">
        <f>G90/D4</f>
        <v>30613.223706748886</v>
      </c>
      <c r="G90" s="66">
        <f>H90</f>
        <v>178720</v>
      </c>
      <c r="H90" s="66">
        <f t="shared" si="1"/>
        <v>178720</v>
      </c>
      <c r="I90" s="66"/>
      <c r="J90" s="258">
        <v>178720</v>
      </c>
      <c r="K90" s="261"/>
      <c r="L90" s="261"/>
      <c r="M90" s="262"/>
      <c r="N90" s="71"/>
      <c r="O90" s="75"/>
      <c r="P90" s="75"/>
    </row>
    <row r="91" spans="1:16" s="4" customFormat="1">
      <c r="A91" s="68"/>
      <c r="B91" s="360" t="s">
        <v>87</v>
      </c>
      <c r="C91" s="375"/>
      <c r="D91" s="68"/>
      <c r="E91" s="74"/>
      <c r="F91" s="70"/>
      <c r="G91" s="66"/>
      <c r="H91" s="66">
        <f t="shared" si="1"/>
        <v>0</v>
      </c>
      <c r="I91" s="66"/>
      <c r="J91" s="258"/>
      <c r="K91" s="261"/>
      <c r="L91" s="261"/>
      <c r="M91" s="262"/>
      <c r="N91" s="71"/>
      <c r="O91" s="75"/>
      <c r="P91" s="75"/>
    </row>
    <row r="92" spans="1:16" s="4" customFormat="1">
      <c r="A92" s="68"/>
      <c r="B92" s="360" t="s">
        <v>31</v>
      </c>
      <c r="C92" s="375"/>
      <c r="D92" s="68"/>
      <c r="E92" s="74"/>
      <c r="F92" s="70"/>
      <c r="G92" s="66"/>
      <c r="H92" s="66">
        <f t="shared" si="1"/>
        <v>0</v>
      </c>
      <c r="I92" s="66"/>
      <c r="J92" s="258"/>
      <c r="K92" s="261"/>
      <c r="L92" s="261"/>
      <c r="M92" s="262"/>
      <c r="N92" s="71"/>
      <c r="O92" s="75"/>
      <c r="P92" s="75"/>
    </row>
    <row r="93" spans="1:16" s="4" customFormat="1">
      <c r="A93" s="68"/>
      <c r="B93" s="360" t="s">
        <v>32</v>
      </c>
      <c r="C93" s="375"/>
      <c r="D93" s="68"/>
      <c r="E93" s="74"/>
      <c r="F93" s="70"/>
      <c r="G93" s="66"/>
      <c r="H93" s="66">
        <f t="shared" si="1"/>
        <v>0</v>
      </c>
      <c r="I93" s="66"/>
      <c r="J93" s="258"/>
      <c r="K93" s="261"/>
      <c r="L93" s="261"/>
      <c r="M93" s="262"/>
      <c r="N93" s="71"/>
      <c r="O93" s="75"/>
      <c r="P93" s="75"/>
    </row>
    <row r="94" spans="1:16" s="4" customFormat="1">
      <c r="A94" s="68"/>
      <c r="B94" s="360" t="s">
        <v>33</v>
      </c>
      <c r="C94" s="375"/>
      <c r="D94" s="68"/>
      <c r="E94" s="74"/>
      <c r="F94" s="70"/>
      <c r="G94" s="66"/>
      <c r="H94" s="66">
        <f t="shared" si="1"/>
        <v>0</v>
      </c>
      <c r="I94" s="66"/>
      <c r="J94" s="258"/>
      <c r="K94" s="261"/>
      <c r="L94" s="261"/>
      <c r="M94" s="262"/>
      <c r="N94" s="71"/>
      <c r="O94" s="75"/>
      <c r="P94" s="75"/>
    </row>
    <row r="95" spans="1:16" s="4" customFormat="1" ht="95.25" customHeight="1">
      <c r="A95" s="68">
        <v>12</v>
      </c>
      <c r="B95" s="373" t="s">
        <v>220</v>
      </c>
      <c r="C95" s="376" t="s">
        <v>47</v>
      </c>
      <c r="D95" s="66" t="s">
        <v>35</v>
      </c>
      <c r="E95" s="66">
        <v>68570</v>
      </c>
      <c r="F95" s="66">
        <f>G95/C4</f>
        <v>25179.856115107916</v>
      </c>
      <c r="G95" s="66">
        <v>140000</v>
      </c>
      <c r="H95" s="66"/>
      <c r="I95" s="66"/>
      <c r="J95" s="258"/>
      <c r="K95" s="261"/>
      <c r="L95" s="261"/>
      <c r="M95" s="258"/>
      <c r="N95" s="71"/>
      <c r="O95" s="75"/>
      <c r="P95" s="75"/>
    </row>
    <row r="96" spans="1:16" s="4" customFormat="1">
      <c r="A96" s="68"/>
      <c r="B96" s="360" t="s">
        <v>86</v>
      </c>
      <c r="C96" s="375"/>
      <c r="D96" s="68"/>
      <c r="E96" s="74" t="s">
        <v>51</v>
      </c>
      <c r="F96" s="70"/>
      <c r="G96" s="66">
        <v>140000</v>
      </c>
      <c r="H96" s="66">
        <f t="shared" si="1"/>
        <v>140000</v>
      </c>
      <c r="I96" s="66"/>
      <c r="J96" s="258">
        <v>140000</v>
      </c>
      <c r="K96" s="261"/>
      <c r="L96" s="261"/>
      <c r="M96" s="262"/>
      <c r="N96" s="71"/>
      <c r="O96" s="75"/>
      <c r="P96" s="75"/>
    </row>
    <row r="97" spans="1:16" s="4" customFormat="1">
      <c r="A97" s="81"/>
      <c r="B97" s="360" t="s">
        <v>85</v>
      </c>
      <c r="C97" s="372"/>
      <c r="D97" s="81"/>
      <c r="E97" s="84"/>
      <c r="F97" s="83"/>
      <c r="G97" s="79"/>
      <c r="H97" s="66">
        <f t="shared" ref="H97:H101" si="7">I97+J97</f>
        <v>0</v>
      </c>
      <c r="I97" s="79"/>
      <c r="J97" s="266"/>
      <c r="K97" s="261"/>
      <c r="L97" s="261"/>
      <c r="M97" s="262"/>
      <c r="N97" s="71"/>
      <c r="O97" s="75"/>
      <c r="P97" s="75"/>
    </row>
    <row r="98" spans="1:16" s="4" customFormat="1">
      <c r="A98" s="81"/>
      <c r="B98" s="360" t="s">
        <v>87</v>
      </c>
      <c r="C98" s="372"/>
      <c r="D98" s="81"/>
      <c r="E98" s="82"/>
      <c r="F98" s="83"/>
      <c r="G98" s="79"/>
      <c r="H98" s="66">
        <f t="shared" si="7"/>
        <v>0</v>
      </c>
      <c r="I98" s="79"/>
      <c r="J98" s="266"/>
      <c r="K98" s="261"/>
      <c r="L98" s="261"/>
      <c r="M98" s="262"/>
      <c r="N98" s="71"/>
      <c r="O98" s="75"/>
      <c r="P98" s="75"/>
    </row>
    <row r="99" spans="1:16" s="4" customFormat="1">
      <c r="A99" s="81"/>
      <c r="B99" s="360" t="s">
        <v>31</v>
      </c>
      <c r="C99" s="372"/>
      <c r="D99" s="81"/>
      <c r="E99" s="82"/>
      <c r="F99" s="83"/>
      <c r="G99" s="79"/>
      <c r="H99" s="66">
        <f t="shared" si="7"/>
        <v>0</v>
      </c>
      <c r="I99" s="79"/>
      <c r="J99" s="266"/>
      <c r="K99" s="261"/>
      <c r="L99" s="261"/>
      <c r="M99" s="262"/>
      <c r="N99" s="71"/>
      <c r="O99" s="75"/>
      <c r="P99" s="75"/>
    </row>
    <row r="100" spans="1:16" s="4" customFormat="1">
      <c r="A100" s="81"/>
      <c r="B100" s="360" t="s">
        <v>32</v>
      </c>
      <c r="C100" s="372"/>
      <c r="D100" s="81"/>
      <c r="E100" s="82"/>
      <c r="F100" s="83"/>
      <c r="G100" s="79"/>
      <c r="H100" s="66">
        <f t="shared" si="7"/>
        <v>0</v>
      </c>
      <c r="I100" s="79"/>
      <c r="J100" s="266"/>
      <c r="K100" s="261"/>
      <c r="L100" s="261"/>
      <c r="M100" s="262"/>
      <c r="N100" s="71"/>
      <c r="O100" s="75"/>
      <c r="P100" s="75"/>
    </row>
    <row r="101" spans="1:16" s="4" customFormat="1">
      <c r="A101" s="81"/>
      <c r="B101" s="360" t="s">
        <v>33</v>
      </c>
      <c r="C101" s="372"/>
      <c r="D101" s="81"/>
      <c r="E101" s="82"/>
      <c r="F101" s="83"/>
      <c r="G101" s="79"/>
      <c r="H101" s="66">
        <f t="shared" si="7"/>
        <v>0</v>
      </c>
      <c r="I101" s="79"/>
      <c r="J101" s="266"/>
      <c r="K101" s="261"/>
      <c r="L101" s="261"/>
      <c r="M101" s="262"/>
      <c r="N101" s="71"/>
      <c r="O101" s="75"/>
      <c r="P101" s="75"/>
    </row>
    <row r="102" spans="1:16" s="4" customFormat="1" ht="25.5" customHeight="1">
      <c r="A102" s="68">
        <v>13</v>
      </c>
      <c r="B102" s="373" t="s">
        <v>368</v>
      </c>
      <c r="C102" s="374" t="s">
        <v>45</v>
      </c>
      <c r="D102" s="80" t="s">
        <v>78</v>
      </c>
      <c r="E102" s="70">
        <v>28057.4</v>
      </c>
      <c r="F102" s="70">
        <v>27068.3</v>
      </c>
      <c r="G102" s="79"/>
      <c r="H102" s="79"/>
      <c r="I102" s="79"/>
      <c r="J102" s="266"/>
      <c r="K102" s="261"/>
      <c r="L102" s="261"/>
      <c r="M102" s="258"/>
      <c r="N102" s="71"/>
      <c r="O102" s="75"/>
      <c r="P102" s="75"/>
    </row>
    <row r="103" spans="1:16" s="4" customFormat="1">
      <c r="A103" s="68"/>
      <c r="B103" s="360" t="s">
        <v>86</v>
      </c>
      <c r="C103" s="375"/>
      <c r="D103" s="68"/>
      <c r="E103" s="74" t="s">
        <v>51</v>
      </c>
      <c r="F103" s="70" t="s">
        <v>51</v>
      </c>
      <c r="G103" s="66">
        <v>319999.96199999994</v>
      </c>
      <c r="H103" s="66">
        <f>I103+J103</f>
        <v>178</v>
      </c>
      <c r="I103" s="66"/>
      <c r="J103" s="258">
        <v>178</v>
      </c>
      <c r="K103" s="261"/>
      <c r="L103" s="261"/>
      <c r="N103" s="71"/>
      <c r="O103" s="75"/>
      <c r="P103" s="75"/>
    </row>
    <row r="104" spans="1:16" s="4" customFormat="1">
      <c r="A104" s="81"/>
      <c r="B104" s="360" t="s">
        <v>85</v>
      </c>
      <c r="C104" s="372"/>
      <c r="D104" s="81"/>
      <c r="E104" s="84"/>
      <c r="F104" s="83"/>
      <c r="G104" s="79"/>
      <c r="H104" s="66">
        <f t="shared" ref="H104:H108" si="8">I104+J104</f>
        <v>0</v>
      </c>
      <c r="I104" s="79"/>
      <c r="J104" s="234"/>
      <c r="K104" s="261"/>
      <c r="L104" s="261"/>
      <c r="M104" s="266"/>
      <c r="N104" s="71"/>
      <c r="O104" s="75"/>
      <c r="P104" s="75"/>
    </row>
    <row r="105" spans="1:16" s="4" customFormat="1">
      <c r="A105" s="81"/>
      <c r="B105" s="360" t="s">
        <v>87</v>
      </c>
      <c r="C105" s="372"/>
      <c r="D105" s="81"/>
      <c r="E105" s="82"/>
      <c r="F105" s="83"/>
      <c r="G105" s="79"/>
      <c r="H105" s="66">
        <f t="shared" si="8"/>
        <v>0</v>
      </c>
      <c r="I105" s="79"/>
      <c r="J105" s="234"/>
      <c r="K105" s="261"/>
      <c r="L105" s="261"/>
      <c r="M105" s="266"/>
      <c r="N105" s="71"/>
      <c r="O105" s="75"/>
      <c r="P105" s="75"/>
    </row>
    <row r="106" spans="1:16" s="4" customFormat="1">
      <c r="A106" s="81"/>
      <c r="B106" s="360" t="s">
        <v>31</v>
      </c>
      <c r="C106" s="372"/>
      <c r="D106" s="81"/>
      <c r="E106" s="82"/>
      <c r="F106" s="83"/>
      <c r="G106" s="79"/>
      <c r="H106" s="66">
        <f t="shared" si="8"/>
        <v>0</v>
      </c>
      <c r="I106" s="79"/>
      <c r="J106" s="234"/>
      <c r="K106" s="261"/>
      <c r="L106" s="261"/>
      <c r="M106" s="266"/>
      <c r="N106" s="71"/>
      <c r="O106" s="75"/>
      <c r="P106" s="75"/>
    </row>
    <row r="107" spans="1:16" s="4" customFormat="1">
      <c r="A107" s="81"/>
      <c r="B107" s="360" t="s">
        <v>32</v>
      </c>
      <c r="C107" s="372"/>
      <c r="D107" s="81"/>
      <c r="E107" s="82"/>
      <c r="F107" s="83"/>
      <c r="G107" s="79"/>
      <c r="H107" s="66">
        <f t="shared" si="8"/>
        <v>0</v>
      </c>
      <c r="I107" s="79"/>
      <c r="J107" s="234"/>
      <c r="K107" s="261"/>
      <c r="L107" s="261"/>
      <c r="M107" s="266"/>
      <c r="N107" s="71"/>
      <c r="O107" s="75"/>
      <c r="P107" s="75"/>
    </row>
    <row r="108" spans="1:16" s="4" customFormat="1">
      <c r="A108" s="68"/>
      <c r="B108" s="360" t="s">
        <v>33</v>
      </c>
      <c r="C108" s="375"/>
      <c r="D108" s="68"/>
      <c r="E108" s="74"/>
      <c r="F108" s="70">
        <f>F102</f>
        <v>27068.3</v>
      </c>
      <c r="G108" s="66">
        <f>F108*H4</f>
        <v>204823.09996719254</v>
      </c>
      <c r="H108" s="66">
        <f t="shared" si="8"/>
        <v>0</v>
      </c>
      <c r="I108" s="66"/>
      <c r="J108" s="234"/>
      <c r="K108" s="261"/>
      <c r="L108" s="261"/>
      <c r="M108" s="258">
        <v>126913.3</v>
      </c>
      <c r="N108" s="71"/>
      <c r="O108" s="75"/>
      <c r="P108" s="75"/>
    </row>
    <row r="109" spans="1:16" s="4" customFormat="1" ht="21" customHeight="1">
      <c r="A109" s="68">
        <v>14</v>
      </c>
      <c r="B109" s="373" t="s">
        <v>369</v>
      </c>
      <c r="C109" s="374" t="s">
        <v>47</v>
      </c>
      <c r="D109" s="80" t="s">
        <v>78</v>
      </c>
      <c r="E109" s="70">
        <v>68770.899999999994</v>
      </c>
      <c r="F109" s="70">
        <v>57553.95</v>
      </c>
      <c r="G109" s="79"/>
      <c r="H109" s="79"/>
      <c r="I109" s="79"/>
      <c r="J109" s="266"/>
      <c r="K109" s="261"/>
      <c r="L109" s="261"/>
      <c r="M109" s="258"/>
      <c r="N109" s="71"/>
      <c r="O109" s="75"/>
      <c r="P109" s="75"/>
    </row>
    <row r="110" spans="1:16" s="4" customFormat="1">
      <c r="A110" s="81"/>
      <c r="B110" s="360" t="s">
        <v>86</v>
      </c>
      <c r="C110" s="372"/>
      <c r="D110" s="81"/>
      <c r="E110" s="66" t="s">
        <v>37</v>
      </c>
      <c r="F110" s="66" t="s">
        <v>51</v>
      </c>
      <c r="G110" s="79"/>
      <c r="H110" s="66">
        <f t="shared" ref="H110:H115" si="9">I110+J110</f>
        <v>0</v>
      </c>
      <c r="I110" s="79"/>
      <c r="J110" s="266"/>
      <c r="K110" s="261"/>
      <c r="L110" s="261"/>
      <c r="M110" s="262"/>
      <c r="N110" s="71"/>
      <c r="O110" s="75"/>
      <c r="P110" s="75"/>
    </row>
    <row r="111" spans="1:16" s="4" customFormat="1">
      <c r="A111" s="81"/>
      <c r="B111" s="360" t="s">
        <v>85</v>
      </c>
      <c r="C111" s="372"/>
      <c r="D111" s="81"/>
      <c r="E111" s="82"/>
      <c r="F111" s="83"/>
      <c r="G111" s="79"/>
      <c r="H111" s="66">
        <f t="shared" si="9"/>
        <v>0</v>
      </c>
      <c r="I111" s="79"/>
      <c r="J111" s="266"/>
      <c r="K111" s="261"/>
      <c r="L111" s="261"/>
      <c r="M111" s="262"/>
      <c r="N111" s="71"/>
      <c r="O111" s="75"/>
      <c r="P111" s="75"/>
    </row>
    <row r="112" spans="1:16" s="4" customFormat="1">
      <c r="A112" s="81"/>
      <c r="B112" s="360" t="s">
        <v>87</v>
      </c>
      <c r="C112" s="372"/>
      <c r="D112" s="81"/>
      <c r="E112" s="82"/>
      <c r="F112" s="83"/>
      <c r="G112" s="79"/>
      <c r="H112" s="66">
        <f t="shared" si="9"/>
        <v>0</v>
      </c>
      <c r="I112" s="79"/>
      <c r="J112" s="266"/>
      <c r="K112" s="261"/>
      <c r="L112" s="261"/>
      <c r="M112" s="262"/>
      <c r="N112" s="71"/>
      <c r="O112" s="75"/>
      <c r="P112" s="75"/>
    </row>
    <row r="113" spans="1:16" s="4" customFormat="1">
      <c r="A113" s="81"/>
      <c r="B113" s="360" t="s">
        <v>31</v>
      </c>
      <c r="C113" s="372"/>
      <c r="D113" s="81"/>
      <c r="E113" s="82"/>
      <c r="F113" s="83"/>
      <c r="G113" s="79"/>
      <c r="H113" s="66">
        <f t="shared" si="9"/>
        <v>0</v>
      </c>
      <c r="I113" s="79"/>
      <c r="J113" s="266"/>
      <c r="K113" s="261"/>
      <c r="L113" s="261"/>
      <c r="M113" s="262"/>
      <c r="N113" s="71"/>
      <c r="O113" s="75"/>
      <c r="P113" s="75"/>
    </row>
    <row r="114" spans="1:16" s="4" customFormat="1">
      <c r="A114" s="81"/>
      <c r="B114" s="360" t="s">
        <v>32</v>
      </c>
      <c r="C114" s="372"/>
      <c r="D114" s="81"/>
      <c r="E114" s="82"/>
      <c r="F114" s="66"/>
      <c r="G114" s="66"/>
      <c r="H114" s="66">
        <f>I114+J114</f>
        <v>0</v>
      </c>
      <c r="I114" s="66"/>
      <c r="J114" s="262"/>
      <c r="K114" s="261"/>
      <c r="L114" s="261"/>
      <c r="M114" s="258">
        <v>171800</v>
      </c>
      <c r="N114" s="71"/>
      <c r="O114" s="75"/>
      <c r="P114" s="75"/>
    </row>
    <row r="115" spans="1:16" s="4" customFormat="1">
      <c r="A115" s="81"/>
      <c r="B115" s="360" t="s">
        <v>33</v>
      </c>
      <c r="C115" s="372"/>
      <c r="D115" s="81"/>
      <c r="E115" s="82"/>
      <c r="F115" s="66"/>
      <c r="G115" s="66"/>
      <c r="H115" s="66">
        <f t="shared" si="9"/>
        <v>0</v>
      </c>
      <c r="I115" s="66"/>
      <c r="J115" s="262"/>
      <c r="K115" s="261"/>
      <c r="L115" s="261"/>
      <c r="M115" s="258">
        <v>14820</v>
      </c>
      <c r="N115" s="71"/>
      <c r="O115" s="75"/>
      <c r="P115" s="75"/>
    </row>
    <row r="116" spans="1:16" s="4" customFormat="1" ht="29.25" customHeight="1">
      <c r="A116" s="68">
        <v>15</v>
      </c>
      <c r="B116" s="373" t="s">
        <v>52</v>
      </c>
      <c r="C116" s="374" t="s">
        <v>45</v>
      </c>
      <c r="D116" s="80" t="s">
        <v>53</v>
      </c>
      <c r="E116" s="80">
        <v>28057.4</v>
      </c>
      <c r="F116" s="80">
        <f>F119</f>
        <v>26004.296696154423</v>
      </c>
      <c r="G116" s="78"/>
      <c r="H116" s="66"/>
      <c r="I116" s="66"/>
      <c r="J116" s="258"/>
      <c r="K116" s="261"/>
      <c r="L116" s="261"/>
      <c r="M116" s="258"/>
      <c r="N116" s="71"/>
      <c r="O116" s="75"/>
      <c r="P116" s="75"/>
    </row>
    <row r="117" spans="1:16" s="4" customFormat="1">
      <c r="A117" s="68"/>
      <c r="B117" s="360" t="s">
        <v>86</v>
      </c>
      <c r="C117" s="375"/>
      <c r="D117" s="68"/>
      <c r="E117" s="66" t="s">
        <v>30</v>
      </c>
      <c r="F117" s="66"/>
      <c r="G117" s="66"/>
      <c r="H117" s="66">
        <f t="shared" ref="H117:H122" si="10">I117+J117</f>
        <v>0</v>
      </c>
      <c r="I117" s="66"/>
      <c r="J117" s="258"/>
      <c r="K117" s="261"/>
      <c r="L117" s="261"/>
      <c r="M117" s="262"/>
      <c r="N117" s="71"/>
      <c r="O117" s="75"/>
      <c r="P117" s="75"/>
    </row>
    <row r="118" spans="1:16" s="4" customFormat="1">
      <c r="A118" s="68"/>
      <c r="B118" s="360" t="s">
        <v>85</v>
      </c>
      <c r="C118" s="375"/>
      <c r="D118" s="68"/>
      <c r="E118" s="74"/>
      <c r="F118" s="70"/>
      <c r="G118" s="66"/>
      <c r="H118" s="66">
        <f t="shared" si="10"/>
        <v>0</v>
      </c>
      <c r="I118" s="66"/>
      <c r="J118" s="258"/>
      <c r="K118" s="261"/>
      <c r="L118" s="261"/>
      <c r="M118" s="262"/>
      <c r="N118" s="71"/>
      <c r="O118" s="75"/>
      <c r="P118" s="75"/>
    </row>
    <row r="119" spans="1:16" s="4" customFormat="1">
      <c r="A119" s="68"/>
      <c r="B119" s="360" t="s">
        <v>87</v>
      </c>
      <c r="C119" s="375"/>
      <c r="D119" s="68"/>
      <c r="E119" s="74"/>
      <c r="F119" s="80">
        <f>G119/E4</f>
        <v>26004.296696154423</v>
      </c>
      <c r="G119" s="80">
        <f>H119</f>
        <v>162440</v>
      </c>
      <c r="H119" s="66">
        <f>I119+J119</f>
        <v>162440</v>
      </c>
      <c r="I119" s="66"/>
      <c r="J119" s="258">
        <v>162440</v>
      </c>
      <c r="K119" s="261"/>
      <c r="L119" s="261"/>
      <c r="M119" s="262"/>
      <c r="N119" s="71"/>
      <c r="O119" s="75"/>
      <c r="P119" s="75"/>
    </row>
    <row r="120" spans="1:16" s="4" customFormat="1">
      <c r="A120" s="68"/>
      <c r="B120" s="360" t="s">
        <v>31</v>
      </c>
      <c r="C120" s="375"/>
      <c r="D120" s="68"/>
      <c r="E120" s="74"/>
      <c r="F120" s="70"/>
      <c r="G120" s="66"/>
      <c r="H120" s="66">
        <f t="shared" si="10"/>
        <v>0</v>
      </c>
      <c r="I120" s="66"/>
      <c r="J120" s="258"/>
      <c r="K120" s="261"/>
      <c r="L120" s="261"/>
      <c r="M120" s="262"/>
      <c r="N120" s="71"/>
      <c r="O120" s="75"/>
      <c r="P120" s="75"/>
    </row>
    <row r="121" spans="1:16" s="4" customFormat="1">
      <c r="A121" s="68"/>
      <c r="B121" s="360" t="s">
        <v>32</v>
      </c>
      <c r="C121" s="375"/>
      <c r="D121" s="68"/>
      <c r="E121" s="74"/>
      <c r="F121" s="70"/>
      <c r="G121" s="66"/>
      <c r="H121" s="66">
        <f t="shared" si="10"/>
        <v>0</v>
      </c>
      <c r="I121" s="66"/>
      <c r="J121" s="258"/>
      <c r="K121" s="261"/>
      <c r="L121" s="261"/>
      <c r="M121" s="262"/>
      <c r="N121" s="71"/>
      <c r="O121" s="75"/>
      <c r="P121" s="75"/>
    </row>
    <row r="122" spans="1:16" s="4" customFormat="1">
      <c r="A122" s="68"/>
      <c r="B122" s="360" t="s">
        <v>33</v>
      </c>
      <c r="C122" s="375"/>
      <c r="D122" s="68"/>
      <c r="E122" s="74"/>
      <c r="F122" s="70"/>
      <c r="G122" s="66"/>
      <c r="H122" s="66">
        <f t="shared" si="10"/>
        <v>0</v>
      </c>
      <c r="I122" s="66"/>
      <c r="J122" s="258"/>
      <c r="K122" s="261"/>
      <c r="L122" s="261"/>
      <c r="M122" s="262"/>
      <c r="N122" s="71"/>
      <c r="O122" s="75"/>
      <c r="P122" s="75"/>
    </row>
    <row r="123" spans="1:16" s="4" customFormat="1" ht="40.5" customHeight="1">
      <c r="A123" s="68">
        <v>16</v>
      </c>
      <c r="B123" s="373" t="s">
        <v>54</v>
      </c>
      <c r="C123" s="374" t="s">
        <v>47</v>
      </c>
      <c r="D123" s="80" t="s">
        <v>55</v>
      </c>
      <c r="E123" s="80">
        <v>63647.199999999997</v>
      </c>
      <c r="F123" s="80">
        <v>63647.199999999997</v>
      </c>
      <c r="G123" s="79"/>
      <c r="H123" s="79"/>
      <c r="I123" s="79"/>
      <c r="J123" s="266"/>
      <c r="K123" s="261"/>
      <c r="L123" s="261"/>
      <c r="M123" s="258"/>
      <c r="N123" s="71"/>
      <c r="O123" s="75"/>
      <c r="P123" s="75"/>
    </row>
    <row r="124" spans="1:16" s="4" customFormat="1">
      <c r="A124" s="81"/>
      <c r="B124" s="360" t="s">
        <v>86</v>
      </c>
      <c r="C124" s="372"/>
      <c r="D124" s="81"/>
      <c r="E124" s="66" t="s">
        <v>37</v>
      </c>
      <c r="F124" s="66"/>
      <c r="G124" s="79"/>
      <c r="H124" s="66">
        <f t="shared" ref="H124:H129" si="11">I124+J124</f>
        <v>0</v>
      </c>
      <c r="I124" s="79"/>
      <c r="J124" s="266"/>
      <c r="K124" s="261"/>
      <c r="L124" s="261"/>
      <c r="M124" s="262"/>
      <c r="N124" s="71"/>
      <c r="O124" s="75"/>
      <c r="P124" s="75"/>
    </row>
    <row r="125" spans="1:16" s="4" customFormat="1">
      <c r="A125" s="81"/>
      <c r="B125" s="360" t="s">
        <v>85</v>
      </c>
      <c r="C125" s="372"/>
      <c r="D125" s="81"/>
      <c r="E125" s="82"/>
      <c r="F125" s="83"/>
      <c r="G125" s="79"/>
      <c r="H125" s="66">
        <f t="shared" si="11"/>
        <v>0</v>
      </c>
      <c r="I125" s="79"/>
      <c r="J125" s="266"/>
      <c r="K125" s="261"/>
      <c r="L125" s="261"/>
      <c r="M125" s="262"/>
      <c r="N125" s="71"/>
      <c r="O125" s="75"/>
      <c r="P125" s="75"/>
    </row>
    <row r="126" spans="1:16" s="4" customFormat="1">
      <c r="A126" s="81"/>
      <c r="B126" s="360" t="s">
        <v>87</v>
      </c>
      <c r="C126" s="372"/>
      <c r="D126" s="81"/>
      <c r="E126" s="82"/>
      <c r="F126" s="83"/>
      <c r="G126" s="79"/>
      <c r="H126" s="66">
        <f t="shared" si="11"/>
        <v>0</v>
      </c>
      <c r="I126" s="79"/>
      <c r="J126" s="266"/>
      <c r="K126" s="261"/>
      <c r="L126" s="261"/>
      <c r="M126" s="262"/>
      <c r="N126" s="71"/>
      <c r="O126" s="75"/>
      <c r="P126" s="75"/>
    </row>
    <row r="127" spans="1:16" s="4" customFormat="1">
      <c r="A127" s="81"/>
      <c r="B127" s="360" t="s">
        <v>31</v>
      </c>
      <c r="C127" s="372"/>
      <c r="D127" s="81"/>
      <c r="E127" s="82"/>
      <c r="F127" s="83"/>
      <c r="G127" s="79"/>
      <c r="H127" s="66">
        <f t="shared" si="11"/>
        <v>0</v>
      </c>
      <c r="I127" s="79"/>
      <c r="J127" s="266"/>
      <c r="K127" s="261"/>
      <c r="L127" s="261"/>
      <c r="M127" s="262"/>
      <c r="N127" s="71"/>
      <c r="O127" s="75"/>
      <c r="P127" s="75"/>
    </row>
    <row r="128" spans="1:16" s="4" customFormat="1">
      <c r="A128" s="81"/>
      <c r="B128" s="360" t="s">
        <v>32</v>
      </c>
      <c r="C128" s="372"/>
      <c r="D128" s="81"/>
      <c r="E128" s="82"/>
      <c r="F128" s="83"/>
      <c r="G128" s="79"/>
      <c r="H128" s="66">
        <f t="shared" si="11"/>
        <v>0</v>
      </c>
      <c r="I128" s="79"/>
      <c r="J128" s="266"/>
      <c r="K128" s="261"/>
      <c r="L128" s="261"/>
      <c r="M128" s="262"/>
      <c r="N128" s="71"/>
      <c r="O128" s="75"/>
      <c r="P128" s="75"/>
    </row>
    <row r="129" spans="1:16" s="4" customFormat="1">
      <c r="A129" s="81"/>
      <c r="B129" s="360" t="s">
        <v>33</v>
      </c>
      <c r="C129" s="372"/>
      <c r="D129" s="81"/>
      <c r="E129" s="82"/>
      <c r="F129" s="66">
        <f>F123</f>
        <v>63647.199999999997</v>
      </c>
      <c r="G129" s="66">
        <f>F129*H4</f>
        <v>481611.9522922347</v>
      </c>
      <c r="H129" s="66">
        <f t="shared" si="11"/>
        <v>100000</v>
      </c>
      <c r="I129" s="66"/>
      <c r="J129" s="258">
        <v>100000</v>
      </c>
      <c r="K129" s="261"/>
      <c r="L129" s="261"/>
      <c r="M129" s="262"/>
      <c r="N129" s="71"/>
      <c r="O129" s="75"/>
      <c r="P129" s="75"/>
    </row>
    <row r="130" spans="1:16" s="4" customFormat="1" ht="30.75" customHeight="1">
      <c r="A130" s="68">
        <v>17</v>
      </c>
      <c r="B130" s="373" t="s">
        <v>56</v>
      </c>
      <c r="C130" s="374" t="s">
        <v>45</v>
      </c>
      <c r="D130" s="80" t="s">
        <v>41</v>
      </c>
      <c r="E130" s="80">
        <v>50511.1</v>
      </c>
      <c r="F130" s="80">
        <v>48168.7</v>
      </c>
      <c r="G130" s="79"/>
      <c r="H130" s="79"/>
      <c r="I130" s="79"/>
      <c r="J130" s="266"/>
      <c r="K130" s="261"/>
      <c r="L130" s="261"/>
      <c r="M130" s="258"/>
      <c r="N130" s="71"/>
      <c r="O130" s="75"/>
      <c r="P130" s="75"/>
    </row>
    <row r="131" spans="1:16" s="4" customFormat="1">
      <c r="A131" s="81"/>
      <c r="B131" s="360" t="s">
        <v>86</v>
      </c>
      <c r="C131" s="371"/>
      <c r="D131" s="81"/>
      <c r="E131" s="66" t="s">
        <v>37</v>
      </c>
      <c r="F131" s="83"/>
      <c r="G131" s="79"/>
      <c r="H131" s="66">
        <f t="shared" ref="H131:H136" si="12">I131+J131</f>
        <v>0</v>
      </c>
      <c r="I131" s="79"/>
      <c r="J131" s="266"/>
      <c r="K131" s="261"/>
      <c r="L131" s="261"/>
      <c r="M131" s="262"/>
      <c r="N131" s="71"/>
      <c r="O131" s="75"/>
      <c r="P131" s="75"/>
    </row>
    <row r="132" spans="1:16" s="4" customFormat="1">
      <c r="A132" s="81"/>
      <c r="B132" s="360" t="s">
        <v>85</v>
      </c>
      <c r="C132" s="371"/>
      <c r="D132" s="81"/>
      <c r="E132" s="82"/>
      <c r="F132" s="83"/>
      <c r="G132" s="79"/>
      <c r="H132" s="66">
        <f t="shared" si="12"/>
        <v>0</v>
      </c>
      <c r="I132" s="79"/>
      <c r="J132" s="266"/>
      <c r="K132" s="261"/>
      <c r="L132" s="261"/>
      <c r="M132" s="262"/>
      <c r="N132" s="71"/>
      <c r="O132" s="75"/>
      <c r="P132" s="75"/>
    </row>
    <row r="133" spans="1:16" s="4" customFormat="1">
      <c r="A133" s="81"/>
      <c r="B133" s="360" t="s">
        <v>87</v>
      </c>
      <c r="C133" s="371"/>
      <c r="D133" s="81"/>
      <c r="E133" s="82"/>
      <c r="F133" s="83"/>
      <c r="G133" s="79"/>
      <c r="H133" s="66">
        <f t="shared" si="12"/>
        <v>0</v>
      </c>
      <c r="I133" s="79"/>
      <c r="J133" s="266"/>
      <c r="K133" s="261"/>
      <c r="L133" s="261"/>
      <c r="M133" s="262"/>
      <c r="N133" s="71"/>
      <c r="O133" s="75"/>
      <c r="P133" s="75"/>
    </row>
    <row r="134" spans="1:16" s="4" customFormat="1">
      <c r="A134" s="81"/>
      <c r="B134" s="360" t="s">
        <v>31</v>
      </c>
      <c r="C134" s="371"/>
      <c r="D134" s="81"/>
      <c r="E134" s="82"/>
      <c r="F134" s="83"/>
      <c r="G134" s="79"/>
      <c r="H134" s="66">
        <f t="shared" si="12"/>
        <v>0</v>
      </c>
      <c r="I134" s="79"/>
      <c r="J134" s="266"/>
      <c r="K134" s="261"/>
      <c r="L134" s="261"/>
      <c r="M134" s="262"/>
      <c r="N134" s="71"/>
      <c r="O134" s="75"/>
      <c r="P134" s="75"/>
    </row>
    <row r="135" spans="1:16" s="4" customFormat="1">
      <c r="A135" s="81"/>
      <c r="B135" s="360" t="s">
        <v>32</v>
      </c>
      <c r="C135" s="371"/>
      <c r="D135" s="81"/>
      <c r="E135" s="82"/>
      <c r="F135" s="83"/>
      <c r="G135" s="79"/>
      <c r="H135" s="66">
        <f t="shared" si="12"/>
        <v>0</v>
      </c>
      <c r="I135" s="79"/>
      <c r="J135" s="266"/>
      <c r="K135" s="261"/>
      <c r="L135" s="261"/>
      <c r="M135" s="262"/>
      <c r="N135" s="71"/>
      <c r="O135" s="75"/>
      <c r="P135" s="75"/>
    </row>
    <row r="136" spans="1:16" s="4" customFormat="1">
      <c r="A136" s="81"/>
      <c r="B136" s="360" t="s">
        <v>33</v>
      </c>
      <c r="C136" s="371"/>
      <c r="D136" s="81"/>
      <c r="E136" s="82"/>
      <c r="F136" s="66">
        <f>F130</f>
        <v>48168.7</v>
      </c>
      <c r="G136" s="66">
        <f>F136*H4</f>
        <v>364487.70168018335</v>
      </c>
      <c r="H136" s="66">
        <f t="shared" si="12"/>
        <v>72000</v>
      </c>
      <c r="I136" s="66"/>
      <c r="J136" s="258">
        <v>72000</v>
      </c>
      <c r="K136" s="261"/>
      <c r="L136" s="261"/>
      <c r="M136" s="262"/>
      <c r="N136" s="71"/>
      <c r="O136" s="75"/>
      <c r="P136" s="75"/>
    </row>
    <row r="137" spans="1:16" s="4" customFormat="1" ht="33.75" customHeight="1">
      <c r="A137" s="68">
        <v>18</v>
      </c>
      <c r="B137" s="373" t="s">
        <v>150</v>
      </c>
      <c r="C137" s="374" t="s">
        <v>39</v>
      </c>
      <c r="D137" s="80" t="s">
        <v>57</v>
      </c>
      <c r="E137" s="80">
        <v>20246.099999999999</v>
      </c>
      <c r="F137" s="80">
        <v>20246.099999999999</v>
      </c>
      <c r="G137" s="79"/>
      <c r="H137" s="79"/>
      <c r="I137" s="79"/>
      <c r="J137" s="266"/>
      <c r="K137" s="261"/>
      <c r="L137" s="261"/>
      <c r="M137" s="258"/>
      <c r="N137" s="71"/>
      <c r="O137" s="75"/>
      <c r="P137" s="75"/>
    </row>
    <row r="138" spans="1:16" s="4" customFormat="1">
      <c r="A138" s="81"/>
      <c r="B138" s="360" t="s">
        <v>86</v>
      </c>
      <c r="C138" s="371"/>
      <c r="D138" s="81"/>
      <c r="E138" s="66" t="s">
        <v>37</v>
      </c>
      <c r="F138" s="83"/>
      <c r="G138" s="79"/>
      <c r="H138" s="66">
        <f t="shared" ref="H138:H143" si="13">I138+J138</f>
        <v>0</v>
      </c>
      <c r="I138" s="79"/>
      <c r="J138" s="266"/>
      <c r="K138" s="261"/>
      <c r="L138" s="261"/>
      <c r="M138" s="262"/>
      <c r="N138" s="71"/>
      <c r="O138" s="75"/>
      <c r="P138" s="75"/>
    </row>
    <row r="139" spans="1:16" s="4" customFormat="1">
      <c r="A139" s="81"/>
      <c r="B139" s="360" t="s">
        <v>85</v>
      </c>
      <c r="C139" s="371"/>
      <c r="D139" s="81"/>
      <c r="E139" s="82"/>
      <c r="F139" s="83"/>
      <c r="G139" s="79"/>
      <c r="H139" s="66">
        <f t="shared" si="13"/>
        <v>0</v>
      </c>
      <c r="I139" s="79"/>
      <c r="J139" s="266"/>
      <c r="K139" s="261"/>
      <c r="L139" s="261"/>
      <c r="M139" s="262"/>
      <c r="N139" s="71"/>
      <c r="O139" s="75"/>
      <c r="P139" s="75"/>
    </row>
    <row r="140" spans="1:16" s="4" customFormat="1">
      <c r="A140" s="81"/>
      <c r="B140" s="360" t="s">
        <v>87</v>
      </c>
      <c r="C140" s="371"/>
      <c r="D140" s="81"/>
      <c r="E140" s="82"/>
      <c r="F140" s="83"/>
      <c r="G140" s="79"/>
      <c r="H140" s="66">
        <f t="shared" si="13"/>
        <v>0</v>
      </c>
      <c r="I140" s="79"/>
      <c r="J140" s="266"/>
      <c r="K140" s="261"/>
      <c r="L140" s="261"/>
      <c r="M140" s="262"/>
      <c r="N140" s="71"/>
      <c r="O140" s="75"/>
      <c r="P140" s="75"/>
    </row>
    <row r="141" spans="1:16" s="4" customFormat="1">
      <c r="A141" s="81"/>
      <c r="B141" s="360" t="s">
        <v>31</v>
      </c>
      <c r="C141" s="371"/>
      <c r="D141" s="81"/>
      <c r="E141" s="82"/>
      <c r="F141" s="83"/>
      <c r="G141" s="79"/>
      <c r="H141" s="66">
        <f t="shared" si="13"/>
        <v>0</v>
      </c>
      <c r="I141" s="79"/>
      <c r="J141" s="266"/>
      <c r="K141" s="261"/>
      <c r="L141" s="261"/>
      <c r="M141" s="262"/>
      <c r="N141" s="71"/>
      <c r="O141" s="75"/>
      <c r="P141" s="75"/>
    </row>
    <row r="142" spans="1:16" s="4" customFormat="1">
      <c r="A142" s="81"/>
      <c r="B142" s="360" t="s">
        <v>32</v>
      </c>
      <c r="C142" s="371"/>
      <c r="D142" s="81"/>
      <c r="E142" s="82"/>
      <c r="F142" s="80"/>
      <c r="G142" s="80"/>
      <c r="H142" s="66">
        <f t="shared" si="13"/>
        <v>0</v>
      </c>
      <c r="I142" s="66"/>
      <c r="J142" s="262"/>
      <c r="K142" s="261"/>
      <c r="L142" s="261"/>
      <c r="M142" s="258">
        <v>50000</v>
      </c>
      <c r="N142" s="71"/>
      <c r="O142" s="75"/>
      <c r="P142" s="75"/>
    </row>
    <row r="143" spans="1:16" s="4" customFormat="1">
      <c r="A143" s="81"/>
      <c r="B143" s="360" t="s">
        <v>33</v>
      </c>
      <c r="C143" s="371"/>
      <c r="D143" s="81"/>
      <c r="E143" s="82"/>
      <c r="F143" s="80"/>
      <c r="G143" s="80"/>
      <c r="H143" s="66">
        <f t="shared" si="13"/>
        <v>0</v>
      </c>
      <c r="I143" s="66"/>
      <c r="J143" s="262"/>
      <c r="K143" s="261"/>
      <c r="L143" s="261"/>
      <c r="M143" s="258">
        <v>100000</v>
      </c>
      <c r="N143" s="71"/>
      <c r="O143" s="75"/>
      <c r="P143" s="75"/>
    </row>
    <row r="144" spans="1:16" s="4" customFormat="1" ht="35.25" customHeight="1">
      <c r="A144" s="68">
        <v>19</v>
      </c>
      <c r="B144" s="373" t="s">
        <v>58</v>
      </c>
      <c r="C144" s="374" t="s">
        <v>36</v>
      </c>
      <c r="D144" s="80" t="s">
        <v>309</v>
      </c>
      <c r="E144" s="70">
        <v>32374.1</v>
      </c>
      <c r="F144" s="70">
        <v>32374.1</v>
      </c>
      <c r="G144" s="78"/>
      <c r="H144" s="66"/>
      <c r="I144" s="66"/>
      <c r="J144" s="258"/>
      <c r="K144" s="261"/>
      <c r="L144" s="261"/>
      <c r="M144" s="258"/>
      <c r="N144" s="71"/>
      <c r="O144" s="75"/>
      <c r="P144" s="75"/>
    </row>
    <row r="145" spans="1:16" s="4" customFormat="1">
      <c r="A145" s="68"/>
      <c r="B145" s="360" t="s">
        <v>86</v>
      </c>
      <c r="C145" s="256"/>
      <c r="D145" s="68"/>
      <c r="E145" s="80" t="s">
        <v>37</v>
      </c>
      <c r="F145" s="70"/>
      <c r="G145" s="66"/>
      <c r="H145" s="66">
        <f t="shared" ref="H145:H150" si="14">I145+J145</f>
        <v>0</v>
      </c>
      <c r="I145" s="66"/>
      <c r="J145" s="258"/>
      <c r="K145" s="261"/>
      <c r="L145" s="261"/>
      <c r="M145" s="262"/>
      <c r="N145" s="71"/>
      <c r="O145" s="75"/>
      <c r="P145" s="75"/>
    </row>
    <row r="146" spans="1:16" s="4" customFormat="1">
      <c r="A146" s="68"/>
      <c r="B146" s="360" t="s">
        <v>85</v>
      </c>
      <c r="C146" s="256"/>
      <c r="D146" s="68"/>
      <c r="E146" s="74"/>
      <c r="F146" s="70">
        <v>32374.1</v>
      </c>
      <c r="G146" s="66">
        <v>180000</v>
      </c>
      <c r="H146" s="66">
        <f t="shared" si="14"/>
        <v>6000</v>
      </c>
      <c r="I146" s="66"/>
      <c r="J146" s="258">
        <v>6000</v>
      </c>
      <c r="K146" s="261"/>
      <c r="L146" s="261"/>
      <c r="M146" s="262"/>
      <c r="N146" s="71"/>
      <c r="O146" s="75"/>
      <c r="P146" s="75"/>
    </row>
    <row r="147" spans="1:16" s="4" customFormat="1">
      <c r="A147" s="68"/>
      <c r="B147" s="360" t="s">
        <v>87</v>
      </c>
      <c r="C147" s="256"/>
      <c r="D147" s="68"/>
      <c r="E147" s="74"/>
      <c r="F147" s="70"/>
      <c r="G147" s="66"/>
      <c r="H147" s="66">
        <f t="shared" si="14"/>
        <v>0</v>
      </c>
      <c r="I147" s="66"/>
      <c r="J147" s="258"/>
      <c r="K147" s="261"/>
      <c r="L147" s="261"/>
      <c r="M147" s="262"/>
      <c r="N147" s="71"/>
      <c r="O147" s="75"/>
      <c r="P147" s="75"/>
    </row>
    <row r="148" spans="1:16" s="4" customFormat="1">
      <c r="A148" s="68"/>
      <c r="B148" s="360" t="s">
        <v>31</v>
      </c>
      <c r="C148" s="256"/>
      <c r="D148" s="68"/>
      <c r="E148" s="74"/>
      <c r="F148" s="70"/>
      <c r="G148" s="66"/>
      <c r="H148" s="66">
        <f t="shared" si="14"/>
        <v>0</v>
      </c>
      <c r="I148" s="66"/>
      <c r="J148" s="258"/>
      <c r="K148" s="261"/>
      <c r="L148" s="261"/>
      <c r="M148" s="262"/>
      <c r="N148" s="71"/>
      <c r="O148" s="75"/>
      <c r="P148" s="75"/>
    </row>
    <row r="149" spans="1:16" s="4" customFormat="1">
      <c r="A149" s="68"/>
      <c r="B149" s="360" t="s">
        <v>32</v>
      </c>
      <c r="C149" s="256"/>
      <c r="D149" s="68"/>
      <c r="E149" s="74"/>
      <c r="F149" s="70">
        <f>G149/G4</f>
        <v>0</v>
      </c>
      <c r="G149" s="66">
        <f>F150*G4+H149</f>
        <v>0</v>
      </c>
      <c r="H149" s="66">
        <f t="shared" si="14"/>
        <v>0</v>
      </c>
      <c r="I149" s="66"/>
      <c r="J149" s="262"/>
      <c r="K149" s="261"/>
      <c r="L149" s="261"/>
      <c r="M149" s="258">
        <v>72000</v>
      </c>
      <c r="N149" s="71"/>
      <c r="O149" s="75"/>
      <c r="P149" s="75"/>
    </row>
    <row r="150" spans="1:16" s="4" customFormat="1">
      <c r="A150" s="68"/>
      <c r="B150" s="360" t="s">
        <v>33</v>
      </c>
      <c r="C150" s="256"/>
      <c r="D150" s="68"/>
      <c r="E150" s="74"/>
      <c r="F150" s="70">
        <f>G150/H4</f>
        <v>0</v>
      </c>
      <c r="G150" s="66">
        <f>H150</f>
        <v>0</v>
      </c>
      <c r="H150" s="66">
        <f t="shared" si="14"/>
        <v>0</v>
      </c>
      <c r="I150" s="66"/>
      <c r="J150" s="262"/>
      <c r="K150" s="261"/>
      <c r="L150" s="261"/>
      <c r="M150" s="258">
        <v>102000</v>
      </c>
      <c r="N150" s="71"/>
      <c r="O150" s="75"/>
      <c r="P150" s="75"/>
    </row>
    <row r="151" spans="1:16" s="4" customFormat="1" ht="25.5">
      <c r="A151" s="68">
        <v>20</v>
      </c>
      <c r="B151" s="373" t="s">
        <v>227</v>
      </c>
      <c r="C151" s="374" t="s">
        <v>36</v>
      </c>
      <c r="D151" s="80" t="s">
        <v>291</v>
      </c>
      <c r="E151" s="66">
        <v>30215.8</v>
      </c>
      <c r="F151" s="66">
        <f>E151</f>
        <v>30215.8</v>
      </c>
      <c r="G151" s="78"/>
      <c r="H151" s="78"/>
      <c r="I151" s="78"/>
      <c r="J151" s="264"/>
      <c r="K151" s="261"/>
      <c r="L151" s="261"/>
      <c r="M151" s="258"/>
      <c r="N151" s="71"/>
      <c r="O151" s="75"/>
      <c r="P151" s="75"/>
    </row>
    <row r="152" spans="1:16" s="4" customFormat="1">
      <c r="A152" s="89"/>
      <c r="B152" s="360" t="s">
        <v>86</v>
      </c>
      <c r="C152" s="377"/>
      <c r="D152" s="89"/>
      <c r="E152" s="80" t="s">
        <v>37</v>
      </c>
      <c r="F152" s="90"/>
      <c r="G152" s="76"/>
      <c r="H152" s="66">
        <f t="shared" ref="H152:H157" si="15">I152+J152</f>
        <v>0</v>
      </c>
      <c r="I152" s="76"/>
      <c r="J152" s="267"/>
      <c r="K152" s="261"/>
      <c r="L152" s="261"/>
      <c r="M152" s="262"/>
      <c r="N152" s="71"/>
      <c r="O152" s="75"/>
      <c r="P152" s="75"/>
    </row>
    <row r="153" spans="1:16" s="4" customFormat="1">
      <c r="A153" s="89"/>
      <c r="B153" s="360" t="s">
        <v>85</v>
      </c>
      <c r="C153" s="377"/>
      <c r="D153" s="89"/>
      <c r="E153" s="91"/>
      <c r="F153" s="66">
        <f>F151</f>
        <v>30215.8</v>
      </c>
      <c r="G153" s="66">
        <f>F153*D4</f>
        <v>176399.84039999999</v>
      </c>
      <c r="H153" s="66">
        <f t="shared" si="15"/>
        <v>250</v>
      </c>
      <c r="I153" s="76"/>
      <c r="J153" s="258">
        <v>250</v>
      </c>
      <c r="K153" s="261"/>
      <c r="L153" s="261"/>
      <c r="M153" s="262"/>
      <c r="N153" s="71"/>
      <c r="O153" s="75"/>
      <c r="P153" s="75"/>
    </row>
    <row r="154" spans="1:16" s="4" customFormat="1">
      <c r="A154" s="89"/>
      <c r="B154" s="360" t="s">
        <v>87</v>
      </c>
      <c r="C154" s="377"/>
      <c r="D154" s="89"/>
      <c r="E154" s="91"/>
      <c r="F154" s="90"/>
      <c r="G154" s="76"/>
      <c r="H154" s="66">
        <f t="shared" si="15"/>
        <v>0</v>
      </c>
      <c r="I154" s="76"/>
      <c r="J154" s="267"/>
      <c r="K154" s="261"/>
      <c r="L154" s="261"/>
      <c r="M154" s="262"/>
      <c r="N154" s="71"/>
      <c r="O154" s="75"/>
      <c r="P154" s="75"/>
    </row>
    <row r="155" spans="1:16" s="4" customFormat="1">
      <c r="A155" s="89"/>
      <c r="B155" s="360" t="s">
        <v>31</v>
      </c>
      <c r="C155" s="377"/>
      <c r="D155" s="89"/>
      <c r="E155" s="91"/>
      <c r="F155" s="90"/>
      <c r="G155" s="76"/>
      <c r="H155" s="66">
        <f t="shared" si="15"/>
        <v>0</v>
      </c>
      <c r="I155" s="76"/>
      <c r="J155" s="267"/>
      <c r="K155" s="261"/>
      <c r="L155" s="261"/>
      <c r="M155" s="262"/>
      <c r="N155" s="71"/>
      <c r="O155" s="75"/>
      <c r="P155" s="75"/>
    </row>
    <row r="156" spans="1:16" s="4" customFormat="1">
      <c r="A156" s="89"/>
      <c r="B156" s="360" t="s">
        <v>32</v>
      </c>
      <c r="C156" s="377"/>
      <c r="D156" s="89"/>
      <c r="E156" s="91"/>
      <c r="F156" s="90"/>
      <c r="G156" s="76"/>
      <c r="H156" s="66">
        <f t="shared" si="15"/>
        <v>0</v>
      </c>
      <c r="I156" s="76"/>
      <c r="J156" s="267"/>
      <c r="K156" s="261"/>
      <c r="L156" s="261"/>
      <c r="M156" s="262"/>
      <c r="N156" s="71"/>
      <c r="O156" s="75"/>
      <c r="P156" s="75"/>
    </row>
    <row r="157" spans="1:16" s="4" customFormat="1">
      <c r="A157" s="89"/>
      <c r="B157" s="360" t="s">
        <v>33</v>
      </c>
      <c r="C157" s="377"/>
      <c r="D157" s="89"/>
      <c r="E157" s="91"/>
      <c r="F157" s="90"/>
      <c r="G157" s="76"/>
      <c r="H157" s="66">
        <f t="shared" si="15"/>
        <v>0</v>
      </c>
      <c r="I157" s="76"/>
      <c r="J157" s="267"/>
      <c r="K157" s="261"/>
      <c r="L157" s="261"/>
      <c r="M157" s="262"/>
      <c r="N157" s="71"/>
      <c r="O157" s="75"/>
      <c r="P157" s="75"/>
    </row>
    <row r="158" spans="1:16" s="4" customFormat="1" ht="28.5" customHeight="1">
      <c r="A158" s="68">
        <v>21</v>
      </c>
      <c r="B158" s="373" t="s">
        <v>199</v>
      </c>
      <c r="C158" s="374" t="s">
        <v>228</v>
      </c>
      <c r="D158" s="80" t="s">
        <v>135</v>
      </c>
      <c r="E158" s="70">
        <v>21979.829860837028</v>
      </c>
      <c r="F158" s="70">
        <v>21979.829860837028</v>
      </c>
      <c r="G158" s="66"/>
      <c r="H158" s="66"/>
      <c r="I158" s="66"/>
      <c r="J158" s="258"/>
      <c r="K158" s="261"/>
      <c r="L158" s="261"/>
      <c r="M158" s="258"/>
      <c r="N158" s="71"/>
      <c r="O158" s="75"/>
      <c r="P158" s="75"/>
    </row>
    <row r="159" spans="1:16" s="4" customFormat="1">
      <c r="A159" s="89"/>
      <c r="B159" s="72" t="s">
        <v>86</v>
      </c>
      <c r="C159" s="244"/>
      <c r="D159" s="89"/>
      <c r="E159" s="70" t="s">
        <v>37</v>
      </c>
      <c r="F159" s="70"/>
      <c r="G159" s="66"/>
      <c r="H159" s="66">
        <f t="shared" ref="H159:H164" si="16">I159+J159</f>
        <v>500</v>
      </c>
      <c r="I159" s="76"/>
      <c r="J159" s="258">
        <v>500</v>
      </c>
      <c r="K159" s="261"/>
      <c r="L159" s="261"/>
      <c r="M159" s="262"/>
      <c r="N159" s="71"/>
      <c r="O159" s="75"/>
      <c r="P159" s="75"/>
    </row>
    <row r="160" spans="1:16" s="4" customFormat="1">
      <c r="A160" s="89"/>
      <c r="B160" s="72" t="s">
        <v>85</v>
      </c>
      <c r="C160" s="244"/>
      <c r="D160" s="89"/>
      <c r="E160" s="91"/>
      <c r="F160" s="70"/>
      <c r="G160" s="66"/>
      <c r="H160" s="66">
        <f t="shared" si="16"/>
        <v>2500</v>
      </c>
      <c r="I160" s="76"/>
      <c r="J160" s="258">
        <v>2500</v>
      </c>
      <c r="K160" s="261"/>
      <c r="L160" s="261"/>
      <c r="M160" s="262"/>
      <c r="N160" s="71"/>
      <c r="O160" s="75"/>
      <c r="P160" s="75"/>
    </row>
    <row r="161" spans="1:19" s="4" customFormat="1">
      <c r="A161" s="89"/>
      <c r="B161" s="72" t="s">
        <v>87</v>
      </c>
      <c r="C161" s="244"/>
      <c r="D161" s="89"/>
      <c r="E161" s="91"/>
      <c r="F161" s="90"/>
      <c r="G161" s="76"/>
      <c r="H161" s="66">
        <f t="shared" si="16"/>
        <v>0</v>
      </c>
      <c r="I161" s="76"/>
      <c r="J161" s="267"/>
      <c r="K161" s="261"/>
      <c r="L161" s="261"/>
      <c r="M161" s="262"/>
      <c r="N161" s="71"/>
      <c r="O161" s="75"/>
      <c r="P161" s="75"/>
    </row>
    <row r="162" spans="1:19" s="4" customFormat="1">
      <c r="A162" s="89"/>
      <c r="B162" s="72" t="s">
        <v>31</v>
      </c>
      <c r="C162" s="244"/>
      <c r="D162" s="89"/>
      <c r="E162" s="91"/>
      <c r="F162" s="90"/>
      <c r="G162" s="76"/>
      <c r="H162" s="66">
        <f t="shared" si="16"/>
        <v>0</v>
      </c>
      <c r="I162" s="76"/>
      <c r="J162" s="267"/>
      <c r="K162" s="261"/>
      <c r="L162" s="261"/>
      <c r="M162" s="262"/>
      <c r="N162" s="71"/>
      <c r="O162" s="75"/>
      <c r="P162" s="75"/>
    </row>
    <row r="163" spans="1:19" s="4" customFormat="1">
      <c r="A163" s="89"/>
      <c r="B163" s="72" t="s">
        <v>32</v>
      </c>
      <c r="C163" s="244"/>
      <c r="D163" s="89"/>
      <c r="E163" s="91"/>
      <c r="F163" s="70"/>
      <c r="G163" s="66"/>
      <c r="H163" s="66">
        <f t="shared" si="16"/>
        <v>81493.5</v>
      </c>
      <c r="I163" s="76"/>
      <c r="J163" s="258">
        <v>81493.5</v>
      </c>
      <c r="K163" s="261"/>
      <c r="L163" s="261"/>
      <c r="M163" s="258">
        <v>78507.5</v>
      </c>
      <c r="N163" s="71"/>
      <c r="O163" s="75"/>
      <c r="P163" s="75"/>
    </row>
    <row r="164" spans="1:19" s="4" customFormat="1">
      <c r="A164" s="89"/>
      <c r="B164" s="72" t="s">
        <v>33</v>
      </c>
      <c r="C164" s="244"/>
      <c r="D164" s="89"/>
      <c r="E164" s="91"/>
      <c r="F164" s="90"/>
      <c r="G164" s="76"/>
      <c r="H164" s="66">
        <f t="shared" si="16"/>
        <v>0</v>
      </c>
      <c r="I164" s="76"/>
      <c r="J164" s="267"/>
      <c r="K164" s="261"/>
      <c r="L164" s="261"/>
      <c r="M164" s="262"/>
      <c r="N164" s="71"/>
      <c r="O164" s="75"/>
      <c r="P164" s="75"/>
    </row>
    <row r="165" spans="1:19" s="9" customFormat="1" ht="56.25" customHeight="1">
      <c r="A165" s="92">
        <v>22</v>
      </c>
      <c r="B165" s="93" t="s">
        <v>229</v>
      </c>
      <c r="C165" s="241" t="s">
        <v>130</v>
      </c>
      <c r="D165" s="80" t="s">
        <v>129</v>
      </c>
      <c r="E165" s="55">
        <f>F165</f>
        <v>12026.473521502492</v>
      </c>
      <c r="F165" s="55">
        <f>F167</f>
        <v>12026.473521502492</v>
      </c>
      <c r="G165" s="94"/>
      <c r="H165" s="95"/>
      <c r="I165" s="95"/>
      <c r="J165" s="268"/>
      <c r="M165" s="258"/>
      <c r="N165" s="63"/>
      <c r="O165" s="56"/>
      <c r="P165" s="56"/>
    </row>
    <row r="166" spans="1:19" s="15" customFormat="1">
      <c r="A166" s="92"/>
      <c r="B166" s="72" t="s">
        <v>86</v>
      </c>
      <c r="C166" s="239"/>
      <c r="D166" s="92"/>
      <c r="E166" s="96"/>
      <c r="F166" s="96"/>
      <c r="G166" s="95"/>
      <c r="H166" s="66">
        <f t="shared" ref="H166:H171" si="17">I166+J166</f>
        <v>0</v>
      </c>
      <c r="I166" s="95"/>
      <c r="J166" s="268"/>
      <c r="K166" s="269"/>
      <c r="L166" s="270"/>
      <c r="M166" s="271"/>
      <c r="N166" s="97"/>
      <c r="O166" s="98"/>
      <c r="P166" s="50"/>
      <c r="S166" s="16"/>
    </row>
    <row r="167" spans="1:19" s="15" customFormat="1">
      <c r="A167" s="92"/>
      <c r="B167" s="72" t="s">
        <v>85</v>
      </c>
      <c r="C167" s="239"/>
      <c r="D167" s="92"/>
      <c r="E167" s="96"/>
      <c r="F167" s="96">
        <f>G167/D4</f>
        <v>12026.473521502492</v>
      </c>
      <c r="G167" s="95">
        <f>F168*D4+H167</f>
        <v>70210.552418531544</v>
      </c>
      <c r="H167" s="66">
        <f t="shared" si="17"/>
        <v>5000</v>
      </c>
      <c r="I167" s="95"/>
      <c r="J167" s="268">
        <v>5000</v>
      </c>
      <c r="K167" s="269"/>
      <c r="L167" s="270"/>
      <c r="M167" s="271"/>
      <c r="N167" s="97"/>
      <c r="O167" s="98"/>
      <c r="P167" s="50"/>
      <c r="S167" s="16"/>
    </row>
    <row r="168" spans="1:19" s="15" customFormat="1">
      <c r="A168" s="92"/>
      <c r="B168" s="72" t="s">
        <v>87</v>
      </c>
      <c r="C168" s="239"/>
      <c r="D168" s="92"/>
      <c r="E168" s="96"/>
      <c r="F168" s="96">
        <f>G168/E4</f>
        <v>11170.015830512426</v>
      </c>
      <c r="G168" s="95">
        <f>F169*E4+H168</f>
        <v>69775.291087828751</v>
      </c>
      <c r="H168" s="66">
        <f t="shared" si="17"/>
        <v>16000</v>
      </c>
      <c r="I168" s="95"/>
      <c r="J168" s="268">
        <v>16000</v>
      </c>
      <c r="K168" s="269"/>
      <c r="L168" s="270"/>
      <c r="M168" s="271"/>
      <c r="N168" s="97"/>
      <c r="O168" s="98"/>
      <c r="P168" s="50"/>
      <c r="S168" s="16"/>
    </row>
    <row r="169" spans="1:19" s="15" customFormat="1">
      <c r="A169" s="92"/>
      <c r="B169" s="72" t="s">
        <v>31</v>
      </c>
      <c r="C169" s="239"/>
      <c r="D169" s="92"/>
      <c r="E169" s="96"/>
      <c r="F169" s="96">
        <f>G169/F4</f>
        <v>8608.6470350281197</v>
      </c>
      <c r="G169" s="95">
        <f>F170*F4+H169</f>
        <v>57432.010881801121</v>
      </c>
      <c r="H169" s="66">
        <f t="shared" si="17"/>
        <v>33674.6</v>
      </c>
      <c r="I169" s="95"/>
      <c r="J169" s="268">
        <v>33674.6</v>
      </c>
      <c r="K169" s="272"/>
      <c r="L169" s="270"/>
      <c r="M169" s="271"/>
      <c r="N169" s="97"/>
      <c r="O169" s="98"/>
      <c r="P169" s="50"/>
      <c r="S169" s="16"/>
    </row>
    <row r="170" spans="1:19" s="15" customFormat="1">
      <c r="A170" s="92"/>
      <c r="B170" s="72" t="s">
        <v>32</v>
      </c>
      <c r="C170" s="239"/>
      <c r="D170" s="92"/>
      <c r="E170" s="96"/>
      <c r="F170" s="96">
        <f>G170/G4</f>
        <v>3561.0657124382433</v>
      </c>
      <c r="G170" s="95">
        <f>H170</f>
        <v>25325.4</v>
      </c>
      <c r="H170" s="66">
        <f t="shared" si="17"/>
        <v>25325.4</v>
      </c>
      <c r="I170" s="95"/>
      <c r="J170" s="268">
        <v>25325.4</v>
      </c>
      <c r="K170" s="272"/>
      <c r="L170" s="270"/>
      <c r="M170" s="271"/>
      <c r="N170" s="97"/>
      <c r="O170" s="98"/>
      <c r="P170" s="50"/>
      <c r="S170" s="16"/>
    </row>
    <row r="171" spans="1:19" s="15" customFormat="1">
      <c r="A171" s="92"/>
      <c r="B171" s="72" t="s">
        <v>33</v>
      </c>
      <c r="C171" s="239"/>
      <c r="D171" s="92"/>
      <c r="E171" s="96"/>
      <c r="F171" s="96"/>
      <c r="G171" s="95"/>
      <c r="H171" s="66">
        <f t="shared" si="17"/>
        <v>0</v>
      </c>
      <c r="I171" s="95"/>
      <c r="J171" s="268"/>
      <c r="K171" s="270"/>
      <c r="L171" s="270"/>
      <c r="M171" s="271"/>
      <c r="N171" s="99"/>
      <c r="O171" s="50"/>
      <c r="P171" s="50"/>
    </row>
    <row r="172" spans="1:19" s="15" customFormat="1" ht="42" customHeight="1">
      <c r="A172" s="100">
        <v>23</v>
      </c>
      <c r="B172" s="101" t="s">
        <v>200</v>
      </c>
      <c r="C172" s="241" t="s">
        <v>230</v>
      </c>
      <c r="D172" s="80" t="s">
        <v>129</v>
      </c>
      <c r="E172" s="55">
        <f>F172</f>
        <v>2753.8175539936656</v>
      </c>
      <c r="F172" s="55">
        <f>F174</f>
        <v>2753.8175539936656</v>
      </c>
      <c r="G172" s="94"/>
      <c r="H172" s="95"/>
      <c r="I172" s="95"/>
      <c r="J172" s="268"/>
      <c r="K172" s="270"/>
      <c r="L172" s="270"/>
      <c r="M172" s="258"/>
      <c r="N172" s="99"/>
      <c r="O172" s="50"/>
      <c r="P172" s="50"/>
    </row>
    <row r="173" spans="1:19" s="17" customFormat="1" ht="21" customHeight="1">
      <c r="A173" s="100"/>
      <c r="B173" s="72" t="s">
        <v>86</v>
      </c>
      <c r="C173" s="239"/>
      <c r="D173" s="92"/>
      <c r="E173" s="55"/>
      <c r="F173" s="55"/>
      <c r="G173" s="95"/>
      <c r="H173" s="66"/>
      <c r="I173" s="95"/>
      <c r="J173" s="271"/>
      <c r="K173" s="272"/>
      <c r="L173" s="270"/>
      <c r="M173" s="271"/>
      <c r="N173" s="102"/>
      <c r="O173" s="32"/>
      <c r="P173" s="32"/>
    </row>
    <row r="174" spans="1:19" s="17" customFormat="1">
      <c r="A174" s="100"/>
      <c r="B174" s="72" t="s">
        <v>85</v>
      </c>
      <c r="C174" s="239"/>
      <c r="D174" s="92"/>
      <c r="E174" s="55"/>
      <c r="F174" s="55">
        <f>G174/D4</f>
        <v>2753.8175539936656</v>
      </c>
      <c r="G174" s="95">
        <f>F177*D4+H174</f>
        <v>16076.786880215019</v>
      </c>
      <c r="H174" s="66">
        <f t="shared" ref="H174:H180" si="18">I174+J174</f>
        <v>1235</v>
      </c>
      <c r="I174" s="95"/>
      <c r="J174" s="268">
        <v>1235</v>
      </c>
      <c r="K174" s="272"/>
      <c r="L174" s="270"/>
      <c r="M174" s="271"/>
      <c r="N174" s="102"/>
      <c r="O174" s="32"/>
      <c r="P174" s="32"/>
    </row>
    <row r="175" spans="1:19" s="17" customFormat="1">
      <c r="A175" s="100"/>
      <c r="B175" s="72" t="s">
        <v>87</v>
      </c>
      <c r="C175" s="239"/>
      <c r="D175" s="92"/>
      <c r="E175" s="103"/>
      <c r="F175" s="103"/>
      <c r="G175" s="104"/>
      <c r="H175" s="66">
        <f t="shared" si="18"/>
        <v>0</v>
      </c>
      <c r="I175" s="95"/>
      <c r="J175" s="268"/>
      <c r="K175" s="272"/>
      <c r="L175" s="270"/>
      <c r="M175" s="271"/>
      <c r="N175" s="102"/>
      <c r="O175" s="32"/>
      <c r="P175" s="32"/>
    </row>
    <row r="176" spans="1:19" s="17" customFormat="1">
      <c r="A176" s="100"/>
      <c r="B176" s="72" t="s">
        <v>31</v>
      </c>
      <c r="C176" s="239"/>
      <c r="D176" s="92"/>
      <c r="E176" s="55"/>
      <c r="F176" s="55"/>
      <c r="G176" s="95"/>
      <c r="H176" s="66">
        <f t="shared" si="18"/>
        <v>0</v>
      </c>
      <c r="I176" s="95"/>
      <c r="J176" s="268"/>
      <c r="K176" s="269"/>
      <c r="L176" s="270"/>
      <c r="M176" s="271"/>
      <c r="N176" s="102"/>
      <c r="O176" s="32"/>
      <c r="P176" s="32"/>
    </row>
    <row r="177" spans="1:16" s="17" customFormat="1">
      <c r="A177" s="100"/>
      <c r="B177" s="72" t="s">
        <v>32</v>
      </c>
      <c r="C177" s="239"/>
      <c r="D177" s="92"/>
      <c r="E177" s="55"/>
      <c r="F177" s="55">
        <f>G177/G4</f>
        <v>2542.2725043191194</v>
      </c>
      <c r="G177" s="55">
        <f>H177</f>
        <v>18080</v>
      </c>
      <c r="H177" s="66">
        <f t="shared" si="18"/>
        <v>18080</v>
      </c>
      <c r="I177" s="95"/>
      <c r="J177" s="268">
        <v>18080</v>
      </c>
      <c r="K177" s="269"/>
      <c r="L177" s="270"/>
      <c r="M177" s="271"/>
      <c r="N177" s="102"/>
      <c r="O177" s="32"/>
      <c r="P177" s="32"/>
    </row>
    <row r="178" spans="1:16" s="17" customFormat="1">
      <c r="A178" s="100"/>
      <c r="B178" s="72" t="s">
        <v>33</v>
      </c>
      <c r="C178" s="239"/>
      <c r="D178" s="92"/>
      <c r="E178" s="55"/>
      <c r="F178" s="55"/>
      <c r="G178" s="95"/>
      <c r="H178" s="66">
        <f t="shared" si="18"/>
        <v>0</v>
      </c>
      <c r="I178" s="95"/>
      <c r="J178" s="268"/>
      <c r="K178" s="272"/>
      <c r="L178" s="270"/>
      <c r="M178" s="271"/>
      <c r="N178" s="102"/>
      <c r="O178" s="32"/>
      <c r="P178" s="32"/>
    </row>
    <row r="179" spans="1:16" s="15" customFormat="1" ht="48.75" customHeight="1">
      <c r="A179" s="100">
        <v>24</v>
      </c>
      <c r="B179" s="101" t="s">
        <v>218</v>
      </c>
      <c r="C179" s="239" t="s">
        <v>304</v>
      </c>
      <c r="D179" s="92" t="s">
        <v>80</v>
      </c>
      <c r="E179" s="105">
        <f>F179+4000/C4</f>
        <v>719.42446043165478</v>
      </c>
      <c r="F179" s="105">
        <f>F184</f>
        <v>0</v>
      </c>
      <c r="G179" s="94"/>
      <c r="H179" s="95"/>
      <c r="I179" s="95"/>
      <c r="J179" s="268"/>
      <c r="K179" s="270"/>
      <c r="L179" s="270"/>
      <c r="M179" s="258"/>
      <c r="N179" s="99"/>
      <c r="O179" s="50"/>
      <c r="P179" s="50"/>
    </row>
    <row r="180" spans="1:16" s="17" customFormat="1">
      <c r="A180" s="100"/>
      <c r="B180" s="72" t="s">
        <v>86</v>
      </c>
      <c r="C180" s="239"/>
      <c r="D180" s="92"/>
      <c r="E180" s="55"/>
      <c r="F180" s="55">
        <f>F179</f>
        <v>0</v>
      </c>
      <c r="G180" s="95">
        <f>F184*G4+H180</f>
        <v>150</v>
      </c>
      <c r="H180" s="66">
        <f t="shared" si="18"/>
        <v>150</v>
      </c>
      <c r="I180" s="95"/>
      <c r="J180" s="268">
        <v>150</v>
      </c>
      <c r="K180" s="272"/>
      <c r="L180" s="270"/>
      <c r="M180" s="271"/>
      <c r="N180" s="102"/>
      <c r="O180" s="32"/>
      <c r="P180" s="32"/>
    </row>
    <row r="181" spans="1:16" s="17" customFormat="1">
      <c r="A181" s="100"/>
      <c r="B181" s="72" t="s">
        <v>85</v>
      </c>
      <c r="C181" s="239"/>
      <c r="D181" s="92"/>
      <c r="E181" s="55"/>
      <c r="F181" s="55"/>
      <c r="G181" s="95"/>
      <c r="H181" s="66">
        <f t="shared" ref="H181:H183" si="19">I181+J181</f>
        <v>0</v>
      </c>
      <c r="I181" s="95"/>
      <c r="J181" s="268"/>
      <c r="K181" s="272"/>
      <c r="L181" s="270"/>
      <c r="M181" s="271"/>
      <c r="N181" s="102"/>
      <c r="O181" s="32"/>
      <c r="P181" s="32"/>
    </row>
    <row r="182" spans="1:16" s="17" customFormat="1">
      <c r="A182" s="100"/>
      <c r="B182" s="72" t="s">
        <v>87</v>
      </c>
      <c r="C182" s="239"/>
      <c r="D182" s="92"/>
      <c r="E182" s="103"/>
      <c r="F182" s="103"/>
      <c r="G182" s="104"/>
      <c r="H182" s="66">
        <f t="shared" si="19"/>
        <v>0</v>
      </c>
      <c r="I182" s="95"/>
      <c r="J182" s="268"/>
      <c r="K182" s="272"/>
      <c r="L182" s="270"/>
      <c r="M182" s="271"/>
      <c r="N182" s="102"/>
      <c r="O182" s="32"/>
      <c r="P182" s="32"/>
    </row>
    <row r="183" spans="1:16" s="17" customFormat="1">
      <c r="A183" s="100"/>
      <c r="B183" s="72" t="s">
        <v>31</v>
      </c>
      <c r="C183" s="239"/>
      <c r="D183" s="92"/>
      <c r="E183" s="55"/>
      <c r="F183" s="55"/>
      <c r="G183" s="95"/>
      <c r="H183" s="66">
        <f t="shared" si="19"/>
        <v>0</v>
      </c>
      <c r="I183" s="95"/>
      <c r="J183" s="268"/>
      <c r="K183" s="269"/>
      <c r="L183" s="270"/>
      <c r="M183" s="271"/>
      <c r="N183" s="102"/>
      <c r="O183" s="32"/>
      <c r="P183" s="32"/>
    </row>
    <row r="184" spans="1:16" s="17" customFormat="1">
      <c r="A184" s="100"/>
      <c r="B184" s="72" t="s">
        <v>32</v>
      </c>
      <c r="C184" s="239"/>
      <c r="D184" s="92"/>
      <c r="E184" s="55"/>
      <c r="F184" s="55"/>
      <c r="G184" s="95"/>
      <c r="H184" s="66"/>
      <c r="I184" s="95"/>
      <c r="J184" s="271"/>
      <c r="K184" s="269"/>
      <c r="L184" s="270"/>
      <c r="M184" s="268">
        <v>54600</v>
      </c>
      <c r="N184" s="102"/>
      <c r="O184" s="32"/>
      <c r="P184" s="32"/>
    </row>
    <row r="185" spans="1:16" s="17" customFormat="1">
      <c r="A185" s="100"/>
      <c r="B185" s="72" t="s">
        <v>33</v>
      </c>
      <c r="C185" s="239"/>
      <c r="D185" s="92"/>
      <c r="E185" s="55"/>
      <c r="F185" s="55"/>
      <c r="G185" s="95"/>
      <c r="H185" s="66"/>
      <c r="I185" s="95"/>
      <c r="J185" s="271"/>
      <c r="K185" s="272"/>
      <c r="L185" s="270"/>
      <c r="M185" s="268">
        <f>54600+87000+3800</f>
        <v>145400</v>
      </c>
      <c r="N185" s="102"/>
      <c r="O185" s="32"/>
      <c r="P185" s="32"/>
    </row>
    <row r="186" spans="1:16" s="15" customFormat="1" ht="45.75" customHeight="1">
      <c r="A186" s="100">
        <v>25</v>
      </c>
      <c r="B186" s="101" t="s">
        <v>219</v>
      </c>
      <c r="C186" s="353" t="s">
        <v>304</v>
      </c>
      <c r="D186" s="92" t="s">
        <v>315</v>
      </c>
      <c r="E186" s="106"/>
      <c r="F186" s="106"/>
      <c r="G186" s="94"/>
      <c r="H186" s="95"/>
      <c r="I186" s="95"/>
      <c r="J186" s="268"/>
      <c r="K186" s="270"/>
      <c r="L186" s="270"/>
      <c r="M186" s="258"/>
      <c r="N186" s="99"/>
      <c r="O186" s="50"/>
      <c r="P186" s="50"/>
    </row>
    <row r="187" spans="1:16" s="17" customFormat="1">
      <c r="A187" s="100"/>
      <c r="B187" s="72" t="s">
        <v>86</v>
      </c>
      <c r="C187" s="239"/>
      <c r="D187" s="92"/>
      <c r="E187" s="55"/>
      <c r="F187" s="55"/>
      <c r="G187" s="95"/>
      <c r="H187" s="66">
        <f t="shared" ref="H187:H192" si="20">I187+J187</f>
        <v>150</v>
      </c>
      <c r="I187" s="95"/>
      <c r="J187" s="268">
        <v>150</v>
      </c>
      <c r="K187" s="272"/>
      <c r="L187" s="270"/>
      <c r="M187" s="271"/>
      <c r="N187" s="102"/>
      <c r="O187" s="32"/>
      <c r="P187" s="32"/>
    </row>
    <row r="188" spans="1:16" s="17" customFormat="1">
      <c r="A188" s="100"/>
      <c r="B188" s="72" t="s">
        <v>85</v>
      </c>
      <c r="C188" s="239"/>
      <c r="D188" s="92"/>
      <c r="E188" s="55"/>
      <c r="F188" s="55"/>
      <c r="G188" s="95"/>
      <c r="H188" s="66">
        <f t="shared" si="20"/>
        <v>0</v>
      </c>
      <c r="I188" s="95"/>
      <c r="J188" s="268"/>
      <c r="K188" s="272"/>
      <c r="L188" s="270"/>
      <c r="M188" s="271"/>
      <c r="N188" s="102"/>
      <c r="O188" s="32"/>
      <c r="P188" s="32"/>
    </row>
    <row r="189" spans="1:16" s="17" customFormat="1">
      <c r="A189" s="100"/>
      <c r="B189" s="72" t="s">
        <v>87</v>
      </c>
      <c r="C189" s="239"/>
      <c r="D189" s="92"/>
      <c r="E189" s="103"/>
      <c r="F189" s="103"/>
      <c r="G189" s="104"/>
      <c r="H189" s="66">
        <f t="shared" si="20"/>
        <v>0</v>
      </c>
      <c r="I189" s="95"/>
      <c r="J189" s="268"/>
      <c r="K189" s="272"/>
      <c r="L189" s="270"/>
      <c r="M189" s="271"/>
      <c r="N189" s="102"/>
      <c r="O189" s="32"/>
      <c r="P189" s="32"/>
    </row>
    <row r="190" spans="1:16" s="17" customFormat="1">
      <c r="A190" s="100"/>
      <c r="B190" s="72" t="s">
        <v>31</v>
      </c>
      <c r="C190" s="239"/>
      <c r="D190" s="92"/>
      <c r="E190" s="55"/>
      <c r="F190" s="55"/>
      <c r="G190" s="95"/>
      <c r="H190" s="66">
        <f t="shared" si="20"/>
        <v>0</v>
      </c>
      <c r="I190" s="95"/>
      <c r="J190" s="268"/>
      <c r="K190" s="269"/>
      <c r="L190" s="270"/>
      <c r="M190" s="271"/>
      <c r="N190" s="102"/>
      <c r="O190" s="32"/>
      <c r="P190" s="32"/>
    </row>
    <row r="191" spans="1:16" s="17" customFormat="1">
      <c r="A191" s="100"/>
      <c r="B191" s="72" t="s">
        <v>32</v>
      </c>
      <c r="C191" s="239"/>
      <c r="D191" s="92"/>
      <c r="E191" s="55"/>
      <c r="F191" s="55"/>
      <c r="G191" s="95"/>
      <c r="H191" s="66">
        <f t="shared" si="20"/>
        <v>0</v>
      </c>
      <c r="I191" s="95"/>
      <c r="J191" s="268"/>
      <c r="K191" s="269"/>
      <c r="L191" s="270"/>
      <c r="M191" s="271"/>
      <c r="N191" s="102"/>
      <c r="O191" s="32"/>
      <c r="P191" s="32"/>
    </row>
    <row r="192" spans="1:16" s="17" customFormat="1">
      <c r="A192" s="100"/>
      <c r="B192" s="72" t="s">
        <v>33</v>
      </c>
      <c r="C192" s="239"/>
      <c r="D192" s="92"/>
      <c r="E192" s="55"/>
      <c r="F192" s="55"/>
      <c r="G192" s="95"/>
      <c r="H192" s="66">
        <f t="shared" si="20"/>
        <v>0</v>
      </c>
      <c r="I192" s="95"/>
      <c r="J192" s="268"/>
      <c r="K192" s="272"/>
      <c r="L192" s="270"/>
      <c r="M192" s="271"/>
      <c r="N192" s="102"/>
      <c r="O192" s="32"/>
      <c r="P192" s="32"/>
    </row>
    <row r="193" spans="1:16" s="17" customFormat="1" ht="26.25" customHeight="1">
      <c r="A193" s="31"/>
      <c r="B193" s="44" t="s">
        <v>363</v>
      </c>
      <c r="C193" s="343"/>
      <c r="D193" s="46"/>
      <c r="E193" s="47"/>
      <c r="F193" s="47"/>
      <c r="G193" s="47"/>
      <c r="H193" s="48">
        <f>H195+H196+H197+H198+H199</f>
        <v>2770063</v>
      </c>
      <c r="I193" s="48">
        <f t="shared" ref="I193:M193" si="21">I195+I196+I197+I198+I199</f>
        <v>0</v>
      </c>
      <c r="J193" s="273">
        <f t="shared" si="21"/>
        <v>2770063</v>
      </c>
      <c r="K193" s="273">
        <f t="shared" si="21"/>
        <v>0</v>
      </c>
      <c r="L193" s="273">
        <f t="shared" si="21"/>
        <v>0</v>
      </c>
      <c r="M193" s="273">
        <f t="shared" si="21"/>
        <v>1462476.2999999998</v>
      </c>
      <c r="N193" s="102"/>
      <c r="O193" s="32"/>
      <c r="P193" s="32"/>
    </row>
    <row r="194" spans="1:16" s="18" customFormat="1">
      <c r="A194" s="31"/>
      <c r="B194" s="44" t="s">
        <v>215</v>
      </c>
      <c r="C194" s="343"/>
      <c r="D194" s="46"/>
      <c r="E194" s="47"/>
      <c r="F194" s="47"/>
      <c r="G194" s="47"/>
      <c r="H194" s="48">
        <f>H19+H26+H33+H40+H47+H61+H68+H75+H82+H89+H96+H103+H110+H117+H124+H131+H138+H145+H152+H159+H166+H173+H180+H187+H54</f>
        <v>331967.19999999995</v>
      </c>
      <c r="I194" s="48">
        <f t="shared" ref="I194" si="22">I19+I26+I33+I40+I47+I61+I68+I75+I82+I89+I96+I103+I110+I117+I124+I131+I138+I145+I152+I159+I166+I173+I180+I187+I54</f>
        <v>8208</v>
      </c>
      <c r="J194" s="273">
        <f>J19+J26+J33+J40+J47+J61+J68+J75+J82+J89+J96+J103+J110+J117+J124+J131+J138+J145+J152+J159+J166+J173+J180+J187+J54</f>
        <v>323759.2</v>
      </c>
      <c r="K194" s="269"/>
      <c r="L194" s="270"/>
      <c r="M194" s="273">
        <f>M19+M26+M33+M40+M47+M61+M68+M75+M82+M89+M96+M103+M110+M117+M124+M131+M138+M145+M152+M159+M166+M173+M180+M187+M54</f>
        <v>0</v>
      </c>
      <c r="N194" s="107"/>
      <c r="O194" s="108"/>
      <c r="P194" s="108"/>
    </row>
    <row r="195" spans="1:16" s="18" customFormat="1">
      <c r="A195" s="31"/>
      <c r="B195" s="44" t="s">
        <v>216</v>
      </c>
      <c r="C195" s="343"/>
      <c r="D195" s="46"/>
      <c r="E195" s="46"/>
      <c r="F195" s="47"/>
      <c r="G195" s="47"/>
      <c r="H195" s="48">
        <f t="shared" ref="H195" si="23">H20+H27+H34+H41+H48+H62+H69+H76+H83+H90+H97+H104+H111+H118+H125+H132+H139+H146+H153+H160+H167+H174+H181+H188+H55</f>
        <v>658363</v>
      </c>
      <c r="I195" s="48">
        <f t="shared" ref="I195:J195" si="24">I20+I27+I34+I41+I48+I62+I69+I76+I83+I90+I97+I104+I111+I118+I125+I132+I139+I146+I153+I160+I167+I174+I181+I188+I55</f>
        <v>0</v>
      </c>
      <c r="J195" s="273">
        <f t="shared" si="24"/>
        <v>658363</v>
      </c>
      <c r="K195" s="269"/>
      <c r="L195" s="270"/>
      <c r="M195" s="273">
        <f t="shared" ref="M195:M199" si="25">M20+M27+M34+M41+M48+M62+M69+M76+M83+M90+M97+M104+M111+M118+M125+M132+M139+M146+M153+M160+M167+M174+M181+M188+M55</f>
        <v>0</v>
      </c>
      <c r="N195" s="107">
        <f>H195-665662.5</f>
        <v>-7299.5</v>
      </c>
      <c r="O195" s="108"/>
      <c r="P195" s="108"/>
    </row>
    <row r="196" spans="1:16" s="18" customFormat="1">
      <c r="A196" s="31"/>
      <c r="B196" s="44" t="s">
        <v>217</v>
      </c>
      <c r="C196" s="343"/>
      <c r="D196" s="46"/>
      <c r="E196" s="46"/>
      <c r="F196" s="47"/>
      <c r="G196" s="47"/>
      <c r="H196" s="48">
        <f t="shared" ref="H196" si="26">H21+H28+H35+H42+H49+H63+H70+H77+H84+H91+H98+H105+H112+H119+H126+H133+H140+H147+H154+H161+H168+H175+H182+H189+H56</f>
        <v>328976.40000000002</v>
      </c>
      <c r="I196" s="48">
        <f t="shared" ref="I196:J196" si="27">I21+I28+I35+I42+I49+I63+I70+I77+I84+I91+I98+I105+I112+I119+I126+I133+I140+I147+I154+I161+I168+I175+I182+I189+I56</f>
        <v>0</v>
      </c>
      <c r="J196" s="273">
        <f t="shared" si="27"/>
        <v>328976.40000000002</v>
      </c>
      <c r="K196" s="269"/>
      <c r="L196" s="270"/>
      <c r="M196" s="273">
        <f t="shared" si="25"/>
        <v>0</v>
      </c>
      <c r="N196" s="107">
        <f>H196-295603.1</f>
        <v>33373.300000000047</v>
      </c>
      <c r="O196" s="108"/>
      <c r="P196" s="108"/>
    </row>
    <row r="197" spans="1:16" s="18" customFormat="1">
      <c r="A197" s="31"/>
      <c r="B197" s="44" t="s">
        <v>31</v>
      </c>
      <c r="C197" s="343"/>
      <c r="D197" s="46"/>
      <c r="E197" s="46"/>
      <c r="F197" s="47"/>
      <c r="G197" s="47"/>
      <c r="H197" s="48">
        <f t="shared" ref="H197" si="28">H22+H29+H36+H43+H50+H64+H71+H78+H85+H92+H99+H106+H113+H120+H127+H134+H141+H148+H155+H162+H169+H176+H183+H190+H57</f>
        <v>306774.59999999998</v>
      </c>
      <c r="I197" s="48">
        <f t="shared" ref="I197:J197" si="29">I22+I29+I36+I43+I50+I64+I71+I78+I85+I92+I99+I106+I113+I120+I127+I134+I141+I148+I155+I162+I169+I176+I183+I190+I57</f>
        <v>0</v>
      </c>
      <c r="J197" s="273">
        <f t="shared" si="29"/>
        <v>306774.59999999998</v>
      </c>
      <c r="K197" s="269"/>
      <c r="L197" s="270"/>
      <c r="M197" s="273">
        <f t="shared" si="25"/>
        <v>0</v>
      </c>
      <c r="N197" s="107">
        <f>J197-306774.6</f>
        <v>0</v>
      </c>
      <c r="O197" s="108"/>
      <c r="P197" s="108"/>
    </row>
    <row r="198" spans="1:16" s="18" customFormat="1">
      <c r="A198" s="31"/>
      <c r="B198" s="44" t="s">
        <v>32</v>
      </c>
      <c r="C198" s="343"/>
      <c r="D198" s="46"/>
      <c r="E198" s="46"/>
      <c r="F198" s="47"/>
      <c r="G198" s="47"/>
      <c r="H198" s="48">
        <f>H23+H30+H37+H44+H51+H65+H72+H79+H86+H93+H100+H107+H114+H121+H128+H135+H142+H149+H156+H163+H170+H177+H184+H191+H58</f>
        <v>736338.79999999993</v>
      </c>
      <c r="I198" s="48">
        <f t="shared" ref="H198:J199" si="30">I23+I30+I37+I44+I51+I65+I72+I79+I86+I93+I100+I107+I114+I121+I128+I135+I142+I149+I156+I163+I170+I177+I184+I191+I58</f>
        <v>0</v>
      </c>
      <c r="J198" s="273">
        <f t="shared" si="30"/>
        <v>736338.79999999993</v>
      </c>
      <c r="K198" s="272"/>
      <c r="L198" s="270"/>
      <c r="M198" s="273">
        <f>M23+M30+M37+M44+M51+M65+M72+M79+M86+M93+M100+M107+M114+M121+M128+M135+M142+M149+M156+M163+M170+M177+M184+M191+M58</f>
        <v>688023.2</v>
      </c>
      <c r="N198" s="109"/>
      <c r="O198" s="108"/>
      <c r="P198" s="108"/>
    </row>
    <row r="199" spans="1:16" s="18" customFormat="1">
      <c r="A199" s="31"/>
      <c r="B199" s="44" t="s">
        <v>33</v>
      </c>
      <c r="C199" s="343"/>
      <c r="D199" s="46"/>
      <c r="E199" s="46"/>
      <c r="F199" s="47"/>
      <c r="G199" s="47"/>
      <c r="H199" s="48">
        <f t="shared" si="30"/>
        <v>739610.2</v>
      </c>
      <c r="I199" s="48">
        <f t="shared" si="30"/>
        <v>0</v>
      </c>
      <c r="J199" s="273">
        <f t="shared" si="30"/>
        <v>739610.2</v>
      </c>
      <c r="K199" s="272"/>
      <c r="L199" s="270"/>
      <c r="M199" s="273">
        <f t="shared" si="25"/>
        <v>774453.1</v>
      </c>
      <c r="N199" s="109"/>
      <c r="O199" s="108"/>
      <c r="P199" s="108"/>
    </row>
    <row r="200" spans="1:16" s="18" customFormat="1">
      <c r="A200" s="67"/>
      <c r="B200" s="67" t="s">
        <v>12</v>
      </c>
      <c r="C200" s="344"/>
      <c r="D200" s="110"/>
      <c r="E200" s="110"/>
      <c r="F200" s="110"/>
      <c r="G200" s="111"/>
      <c r="H200" s="112"/>
      <c r="I200" s="112"/>
      <c r="J200" s="274"/>
      <c r="K200" s="272"/>
      <c r="L200" s="270"/>
      <c r="M200" s="271"/>
      <c r="N200" s="109"/>
      <c r="O200" s="108"/>
      <c r="P200" s="108"/>
    </row>
    <row r="201" spans="1:16" s="15" customFormat="1" ht="50.25" customHeight="1">
      <c r="A201" s="100">
        <v>1</v>
      </c>
      <c r="B201" s="101" t="s">
        <v>151</v>
      </c>
      <c r="C201" s="241" t="s">
        <v>59</v>
      </c>
      <c r="D201" s="80" t="s">
        <v>61</v>
      </c>
      <c r="E201" s="55">
        <v>79027.8</v>
      </c>
      <c r="F201" s="55">
        <v>51111.151079136696</v>
      </c>
      <c r="G201" s="55">
        <v>284178</v>
      </c>
      <c r="H201" s="95"/>
      <c r="I201" s="95"/>
      <c r="J201" s="268"/>
      <c r="K201" s="270"/>
      <c r="L201" s="270"/>
      <c r="M201" s="275"/>
      <c r="N201" s="99"/>
      <c r="O201" s="50"/>
      <c r="P201" s="50"/>
    </row>
    <row r="202" spans="1:16" s="17" customFormat="1">
      <c r="A202" s="100"/>
      <c r="B202" s="72" t="s">
        <v>86</v>
      </c>
      <c r="C202" s="239"/>
      <c r="D202" s="92"/>
      <c r="E202" s="55"/>
      <c r="F202" s="55">
        <f>G202/C4</f>
        <v>51111.151079136696</v>
      </c>
      <c r="G202" s="55">
        <v>284178</v>
      </c>
      <c r="H202" s="66">
        <f t="shared" ref="H202:H207" si="31">I202+J202</f>
        <v>284178</v>
      </c>
      <c r="I202" s="95"/>
      <c r="J202" s="268">
        <v>284178</v>
      </c>
      <c r="K202" s="272"/>
      <c r="L202" s="270"/>
      <c r="M202" s="271"/>
      <c r="N202" s="102"/>
      <c r="O202" s="32"/>
      <c r="P202" s="32"/>
    </row>
    <row r="203" spans="1:16" s="18" customFormat="1">
      <c r="A203" s="114"/>
      <c r="B203" s="72" t="s">
        <v>85</v>
      </c>
      <c r="C203" s="345"/>
      <c r="D203" s="115"/>
      <c r="E203" s="115"/>
      <c r="F203" s="115"/>
      <c r="G203" s="115"/>
      <c r="H203" s="66">
        <f t="shared" si="31"/>
        <v>0</v>
      </c>
      <c r="I203" s="116"/>
      <c r="J203" s="276"/>
      <c r="K203" s="272"/>
      <c r="L203" s="270"/>
      <c r="M203" s="271"/>
      <c r="N203" s="109"/>
      <c r="O203" s="108"/>
      <c r="P203" s="108"/>
    </row>
    <row r="204" spans="1:16" s="18" customFormat="1">
      <c r="A204" s="114"/>
      <c r="B204" s="72" t="s">
        <v>87</v>
      </c>
      <c r="C204" s="345"/>
      <c r="D204" s="115"/>
      <c r="E204" s="115"/>
      <c r="F204" s="115"/>
      <c r="G204" s="115"/>
      <c r="H204" s="66">
        <f t="shared" si="31"/>
        <v>0</v>
      </c>
      <c r="I204" s="117"/>
      <c r="J204" s="277"/>
      <c r="K204" s="270"/>
      <c r="L204" s="270"/>
      <c r="M204" s="271"/>
      <c r="N204" s="109"/>
      <c r="O204" s="108"/>
      <c r="P204" s="108"/>
    </row>
    <row r="205" spans="1:16" s="18" customFormat="1">
      <c r="A205" s="114"/>
      <c r="B205" s="72" t="s">
        <v>31</v>
      </c>
      <c r="C205" s="345"/>
      <c r="D205" s="115"/>
      <c r="E205" s="115"/>
      <c r="F205" s="115"/>
      <c r="G205" s="115"/>
      <c r="H205" s="66">
        <f t="shared" si="31"/>
        <v>0</v>
      </c>
      <c r="I205" s="117"/>
      <c r="J205" s="277"/>
      <c r="K205" s="272"/>
      <c r="L205" s="270"/>
      <c r="M205" s="271"/>
      <c r="N205" s="109"/>
      <c r="O205" s="108"/>
      <c r="P205" s="108"/>
    </row>
    <row r="206" spans="1:16" s="18" customFormat="1">
      <c r="A206" s="114"/>
      <c r="B206" s="72" t="s">
        <v>32</v>
      </c>
      <c r="C206" s="345"/>
      <c r="D206" s="115"/>
      <c r="E206" s="115"/>
      <c r="F206" s="115"/>
      <c r="G206" s="115"/>
      <c r="H206" s="66">
        <f t="shared" si="31"/>
        <v>0</v>
      </c>
      <c r="I206" s="117"/>
      <c r="J206" s="276"/>
      <c r="K206" s="272"/>
      <c r="L206" s="270"/>
      <c r="M206" s="271"/>
      <c r="N206" s="109"/>
      <c r="O206" s="108"/>
      <c r="P206" s="108"/>
    </row>
    <row r="207" spans="1:16" s="18" customFormat="1">
      <c r="A207" s="114"/>
      <c r="B207" s="72" t="s">
        <v>33</v>
      </c>
      <c r="C207" s="345"/>
      <c r="D207" s="115"/>
      <c r="E207" s="115"/>
      <c r="F207" s="115"/>
      <c r="G207" s="115"/>
      <c r="H207" s="66">
        <f t="shared" si="31"/>
        <v>0</v>
      </c>
      <c r="I207" s="117"/>
      <c r="J207" s="276"/>
      <c r="K207" s="272"/>
      <c r="L207" s="270"/>
      <c r="M207" s="271"/>
      <c r="N207" s="109"/>
      <c r="O207" s="108"/>
      <c r="P207" s="108"/>
    </row>
    <row r="208" spans="1:16" s="15" customFormat="1" ht="41.25" customHeight="1">
      <c r="A208" s="100">
        <v>2</v>
      </c>
      <c r="B208" s="101" t="s">
        <v>152</v>
      </c>
      <c r="C208" s="241" t="s">
        <v>60</v>
      </c>
      <c r="D208" s="80" t="s">
        <v>62</v>
      </c>
      <c r="E208" s="55">
        <f>348/4.55+F208</f>
        <v>3361.7353150446675</v>
      </c>
      <c r="F208" s="55">
        <f>F209</f>
        <v>3285.2517985611512</v>
      </c>
      <c r="G208" s="55">
        <f>G209</f>
        <v>18266</v>
      </c>
      <c r="H208" s="95"/>
      <c r="I208" s="95"/>
      <c r="J208" s="268"/>
      <c r="K208" s="270"/>
      <c r="L208" s="270"/>
      <c r="M208" s="275"/>
      <c r="N208" s="99"/>
      <c r="O208" s="50"/>
      <c r="P208" s="50"/>
    </row>
    <row r="209" spans="1:16" s="17" customFormat="1">
      <c r="A209" s="100"/>
      <c r="B209" s="72" t="s">
        <v>86</v>
      </c>
      <c r="C209" s="239"/>
      <c r="D209" s="92"/>
      <c r="E209" s="55"/>
      <c r="F209" s="55">
        <f>G209/C4</f>
        <v>3285.2517985611512</v>
      </c>
      <c r="G209" s="95">
        <f>H209</f>
        <v>18266</v>
      </c>
      <c r="H209" s="66">
        <f t="shared" ref="H209:H214" si="32">I209+J209</f>
        <v>18266</v>
      </c>
      <c r="I209" s="95"/>
      <c r="J209" s="268">
        <v>18266</v>
      </c>
      <c r="K209" s="272"/>
      <c r="L209" s="270"/>
      <c r="M209" s="271"/>
      <c r="N209" s="102"/>
      <c r="O209" s="32"/>
      <c r="P209" s="32"/>
    </row>
    <row r="210" spans="1:16" s="18" customFormat="1">
      <c r="A210" s="118"/>
      <c r="B210" s="72" t="s">
        <v>85</v>
      </c>
      <c r="C210" s="245"/>
      <c r="D210" s="119"/>
      <c r="E210" s="119"/>
      <c r="F210" s="119"/>
      <c r="G210" s="116"/>
      <c r="H210" s="66">
        <f t="shared" si="32"/>
        <v>0</v>
      </c>
      <c r="I210" s="116"/>
      <c r="J210" s="276"/>
      <c r="K210" s="269"/>
      <c r="L210" s="270"/>
      <c r="M210" s="271"/>
      <c r="N210" s="109"/>
      <c r="O210" s="108"/>
      <c r="P210" s="108"/>
    </row>
    <row r="211" spans="1:16" s="18" customFormat="1">
      <c r="A211" s="118"/>
      <c r="B211" s="72" t="s">
        <v>87</v>
      </c>
      <c r="C211" s="245"/>
      <c r="D211" s="119"/>
      <c r="E211" s="119"/>
      <c r="F211" s="119"/>
      <c r="G211" s="116"/>
      <c r="H211" s="66">
        <f t="shared" si="32"/>
        <v>0</v>
      </c>
      <c r="I211" s="116"/>
      <c r="J211" s="276"/>
      <c r="K211" s="272"/>
      <c r="L211" s="270"/>
      <c r="M211" s="271"/>
      <c r="N211" s="109"/>
      <c r="O211" s="108"/>
      <c r="P211" s="108"/>
    </row>
    <row r="212" spans="1:16" s="18" customFormat="1">
      <c r="A212" s="118"/>
      <c r="B212" s="72" t="s">
        <v>31</v>
      </c>
      <c r="C212" s="245"/>
      <c r="D212" s="119"/>
      <c r="E212" s="119"/>
      <c r="F212" s="119"/>
      <c r="G212" s="116"/>
      <c r="H212" s="66">
        <f t="shared" si="32"/>
        <v>0</v>
      </c>
      <c r="I212" s="116"/>
      <c r="J212" s="276"/>
      <c r="K212" s="272"/>
      <c r="L212" s="270"/>
      <c r="M212" s="271"/>
      <c r="N212" s="109"/>
      <c r="O212" s="108"/>
      <c r="P212" s="108"/>
    </row>
    <row r="213" spans="1:16" s="18" customFormat="1">
      <c r="A213" s="118"/>
      <c r="B213" s="72" t="s">
        <v>32</v>
      </c>
      <c r="C213" s="245"/>
      <c r="D213" s="119"/>
      <c r="E213" s="119"/>
      <c r="F213" s="119"/>
      <c r="G213" s="116"/>
      <c r="H213" s="66">
        <f t="shared" si="32"/>
        <v>0</v>
      </c>
      <c r="I213" s="116"/>
      <c r="J213" s="276"/>
      <c r="K213" s="270"/>
      <c r="L213" s="270"/>
      <c r="M213" s="271"/>
      <c r="N213" s="109"/>
      <c r="O213" s="108"/>
      <c r="P213" s="108"/>
    </row>
    <row r="214" spans="1:16" s="18" customFormat="1">
      <c r="A214" s="118"/>
      <c r="B214" s="72" t="s">
        <v>33</v>
      </c>
      <c r="C214" s="245"/>
      <c r="D214" s="119"/>
      <c r="E214" s="119"/>
      <c r="F214" s="119"/>
      <c r="G214" s="116"/>
      <c r="H214" s="66">
        <f t="shared" si="32"/>
        <v>0</v>
      </c>
      <c r="I214" s="116"/>
      <c r="J214" s="276"/>
      <c r="K214" s="270"/>
      <c r="L214" s="270"/>
      <c r="M214" s="271"/>
      <c r="N214" s="109"/>
      <c r="O214" s="108"/>
      <c r="P214" s="108"/>
    </row>
    <row r="215" spans="1:16" s="15" customFormat="1" ht="74.25" customHeight="1">
      <c r="A215" s="100">
        <v>3</v>
      </c>
      <c r="B215" s="101" t="s">
        <v>156</v>
      </c>
      <c r="C215" s="352" t="s">
        <v>63</v>
      </c>
      <c r="D215" s="80" t="s">
        <v>64</v>
      </c>
      <c r="E215" s="55">
        <v>56166.7</v>
      </c>
      <c r="F215" s="55">
        <f>F216</f>
        <v>37228.442709596733</v>
      </c>
      <c r="G215" s="94"/>
      <c r="H215" s="95"/>
      <c r="I215" s="95"/>
      <c r="J215" s="268"/>
      <c r="K215" s="270"/>
      <c r="L215" s="270"/>
      <c r="M215" s="275"/>
      <c r="N215" s="99"/>
      <c r="O215" s="50"/>
      <c r="P215" s="50"/>
    </row>
    <row r="216" spans="1:16" s="17" customFormat="1">
      <c r="A216" s="100"/>
      <c r="B216" s="72" t="s">
        <v>86</v>
      </c>
      <c r="C216" s="239"/>
      <c r="D216" s="92"/>
      <c r="E216" s="55"/>
      <c r="F216" s="55">
        <f>G216/C4</f>
        <v>37228.442709596733</v>
      </c>
      <c r="G216" s="55">
        <f>F217*C4+H216</f>
        <v>206990.14146535782</v>
      </c>
      <c r="H216" s="66">
        <f t="shared" ref="H216:H221" si="33">I216+J216</f>
        <v>51318</v>
      </c>
      <c r="I216" s="95">
        <v>23200</v>
      </c>
      <c r="J216" s="268">
        <v>28118</v>
      </c>
      <c r="K216" s="272"/>
      <c r="L216" s="270"/>
      <c r="M216" s="271"/>
      <c r="N216" s="102"/>
      <c r="O216" s="32"/>
      <c r="P216" s="32"/>
    </row>
    <row r="217" spans="1:16" s="18" customFormat="1">
      <c r="A217" s="100"/>
      <c r="B217" s="72" t="s">
        <v>85</v>
      </c>
      <c r="C217" s="246"/>
      <c r="D217" s="55"/>
      <c r="E217" s="55"/>
      <c r="F217" s="55">
        <f>G217/D4</f>
        <v>27998.586594488821</v>
      </c>
      <c r="G217" s="55">
        <f>F218*D4+H217</f>
        <v>163455.74853862575</v>
      </c>
      <c r="H217" s="66">
        <f t="shared" si="33"/>
        <v>12000</v>
      </c>
      <c r="I217" s="95"/>
      <c r="J217" s="268">
        <v>12000</v>
      </c>
      <c r="K217" s="269"/>
      <c r="L217" s="270"/>
      <c r="M217" s="271"/>
      <c r="N217" s="109"/>
      <c r="O217" s="108"/>
      <c r="P217" s="108"/>
    </row>
    <row r="218" spans="1:16" s="18" customFormat="1">
      <c r="A218" s="100"/>
      <c r="B218" s="72" t="s">
        <v>87</v>
      </c>
      <c r="C218" s="246"/>
      <c r="D218" s="55"/>
      <c r="E218" s="55"/>
      <c r="F218" s="70">
        <f>G218/E4</f>
        <v>25943.088136112667</v>
      </c>
      <c r="G218" s="70">
        <f>F219*E4+H218</f>
        <v>162057.65093632956</v>
      </c>
      <c r="H218" s="66">
        <f t="shared" si="33"/>
        <v>116833.4</v>
      </c>
      <c r="I218" s="95"/>
      <c r="J218" s="268">
        <v>116833.4</v>
      </c>
      <c r="K218" s="272"/>
      <c r="L218" s="270"/>
      <c r="M218" s="271"/>
      <c r="N218" s="109"/>
      <c r="O218" s="108"/>
      <c r="P218" s="108"/>
    </row>
    <row r="219" spans="1:16" s="18" customFormat="1">
      <c r="A219" s="100"/>
      <c r="B219" s="72" t="s">
        <v>31</v>
      </c>
      <c r="C219" s="246"/>
      <c r="D219" s="55"/>
      <c r="E219" s="55"/>
      <c r="F219" s="70">
        <f>G219/F4</f>
        <v>7239.7490717166584</v>
      </c>
      <c r="G219" s="70">
        <f>H219</f>
        <v>48299.5</v>
      </c>
      <c r="H219" s="66">
        <f t="shared" si="33"/>
        <v>48299.5</v>
      </c>
      <c r="I219" s="95"/>
      <c r="J219" s="268">
        <v>48299.5</v>
      </c>
      <c r="K219" s="272"/>
      <c r="L219" s="270"/>
      <c r="M219" s="271"/>
      <c r="N219" s="109"/>
      <c r="O219" s="108"/>
      <c r="P219" s="108"/>
    </row>
    <row r="220" spans="1:16" s="18" customFormat="1">
      <c r="A220" s="100"/>
      <c r="B220" s="72" t="s">
        <v>32</v>
      </c>
      <c r="C220" s="246"/>
      <c r="D220" s="55"/>
      <c r="E220" s="55"/>
      <c r="F220" s="55"/>
      <c r="G220" s="95"/>
      <c r="H220" s="66">
        <f t="shared" si="33"/>
        <v>0</v>
      </c>
      <c r="I220" s="95"/>
      <c r="J220" s="268"/>
      <c r="K220" s="270"/>
      <c r="L220" s="270"/>
      <c r="M220" s="271"/>
      <c r="N220" s="109"/>
      <c r="O220" s="108"/>
      <c r="P220" s="108"/>
    </row>
    <row r="221" spans="1:16" s="18" customFormat="1">
      <c r="A221" s="100"/>
      <c r="B221" s="72" t="s">
        <v>33</v>
      </c>
      <c r="C221" s="246"/>
      <c r="D221" s="55"/>
      <c r="E221" s="55"/>
      <c r="F221" s="55"/>
      <c r="G221" s="95"/>
      <c r="H221" s="66">
        <f t="shared" si="33"/>
        <v>0</v>
      </c>
      <c r="I221" s="95"/>
      <c r="J221" s="268"/>
      <c r="K221" s="270"/>
      <c r="L221" s="270"/>
      <c r="M221" s="271"/>
      <c r="N221" s="109"/>
      <c r="O221" s="108"/>
      <c r="P221" s="108"/>
    </row>
    <row r="222" spans="1:16" s="15" customFormat="1" ht="75" customHeight="1">
      <c r="A222" s="100">
        <v>4</v>
      </c>
      <c r="B222" s="101" t="s">
        <v>159</v>
      </c>
      <c r="C222" s="241" t="s">
        <v>236</v>
      </c>
      <c r="D222" s="80" t="s">
        <v>296</v>
      </c>
      <c r="E222" s="55">
        <v>16696.3</v>
      </c>
      <c r="F222" s="55">
        <f>F223</f>
        <v>11447.529976019185</v>
      </c>
      <c r="G222" s="94"/>
      <c r="H222" s="95"/>
      <c r="I222" s="95"/>
      <c r="J222" s="268"/>
      <c r="K222" s="270"/>
      <c r="L222" s="270"/>
      <c r="M222" s="275"/>
      <c r="N222" s="99"/>
      <c r="O222" s="50"/>
      <c r="P222" s="50"/>
    </row>
    <row r="223" spans="1:16" s="17" customFormat="1">
      <c r="A223" s="100"/>
      <c r="B223" s="72" t="s">
        <v>86</v>
      </c>
      <c r="C223" s="239"/>
      <c r="D223" s="92"/>
      <c r="E223" s="55"/>
      <c r="F223" s="55">
        <f>G223/C4</f>
        <v>11447.529976019185</v>
      </c>
      <c r="G223" s="95">
        <f>F224*C4+H223</f>
        <v>63648.266666666663</v>
      </c>
      <c r="H223" s="66">
        <f t="shared" ref="H223:H228" si="34">I223+J223</f>
        <v>25565.599999999999</v>
      </c>
      <c r="I223" s="95"/>
      <c r="J223" s="268">
        <v>25565.599999999999</v>
      </c>
      <c r="K223" s="272"/>
      <c r="L223" s="270"/>
      <c r="M223" s="271"/>
      <c r="N223" s="102"/>
      <c r="O223" s="32"/>
      <c r="P223" s="32"/>
    </row>
    <row r="224" spans="1:16" s="17" customFormat="1">
      <c r="A224" s="100"/>
      <c r="B224" s="72" t="s">
        <v>85</v>
      </c>
      <c r="C224" s="239"/>
      <c r="D224" s="92"/>
      <c r="E224" s="55"/>
      <c r="F224" s="55">
        <f>G224/D4</f>
        <v>6849.4004796163072</v>
      </c>
      <c r="G224" s="95">
        <f>H224</f>
        <v>39986.800000000003</v>
      </c>
      <c r="H224" s="66">
        <f t="shared" si="34"/>
        <v>39986.800000000003</v>
      </c>
      <c r="I224" s="95"/>
      <c r="J224" s="268">
        <v>39986.800000000003</v>
      </c>
      <c r="K224" s="272"/>
      <c r="L224" s="270"/>
      <c r="M224" s="271"/>
      <c r="N224" s="102"/>
      <c r="O224" s="32"/>
      <c r="P224" s="32"/>
    </row>
    <row r="225" spans="1:16" s="18" customFormat="1">
      <c r="A225" s="118"/>
      <c r="B225" s="72" t="s">
        <v>87</v>
      </c>
      <c r="C225" s="247"/>
      <c r="D225" s="120"/>
      <c r="E225" s="119"/>
      <c r="F225" s="119"/>
      <c r="G225" s="116"/>
      <c r="H225" s="66">
        <f t="shared" si="34"/>
        <v>0</v>
      </c>
      <c r="I225" s="116"/>
      <c r="J225" s="277"/>
      <c r="K225" s="272"/>
      <c r="L225" s="270"/>
      <c r="M225" s="271"/>
      <c r="N225" s="109"/>
      <c r="O225" s="108"/>
      <c r="P225" s="108"/>
    </row>
    <row r="226" spans="1:16" s="18" customFormat="1">
      <c r="A226" s="118"/>
      <c r="B226" s="72" t="s">
        <v>31</v>
      </c>
      <c r="C226" s="247"/>
      <c r="D226" s="121"/>
      <c r="E226" s="119"/>
      <c r="F226" s="119"/>
      <c r="G226" s="116"/>
      <c r="H226" s="66">
        <f t="shared" si="34"/>
        <v>0</v>
      </c>
      <c r="I226" s="116"/>
      <c r="J226" s="276"/>
      <c r="K226" s="272"/>
      <c r="L226" s="270"/>
      <c r="M226" s="271"/>
      <c r="N226" s="109"/>
      <c r="O226" s="108"/>
      <c r="P226" s="108"/>
    </row>
    <row r="227" spans="1:16" s="18" customFormat="1">
      <c r="A227" s="118"/>
      <c r="B227" s="72" t="s">
        <v>32</v>
      </c>
      <c r="C227" s="247"/>
      <c r="D227" s="120"/>
      <c r="E227" s="119"/>
      <c r="F227" s="119"/>
      <c r="G227" s="116"/>
      <c r="H227" s="66">
        <f t="shared" si="34"/>
        <v>0</v>
      </c>
      <c r="I227" s="116"/>
      <c r="J227" s="277"/>
      <c r="K227" s="269"/>
      <c r="L227" s="270"/>
      <c r="M227" s="271"/>
      <c r="N227" s="109"/>
      <c r="O227" s="108"/>
      <c r="P227" s="108"/>
    </row>
    <row r="228" spans="1:16" s="18" customFormat="1">
      <c r="A228" s="118"/>
      <c r="B228" s="72" t="s">
        <v>33</v>
      </c>
      <c r="C228" s="247"/>
      <c r="D228" s="120"/>
      <c r="E228" s="119"/>
      <c r="F228" s="119"/>
      <c r="G228" s="116"/>
      <c r="H228" s="66">
        <f t="shared" si="34"/>
        <v>0</v>
      </c>
      <c r="I228" s="116"/>
      <c r="J228" s="277"/>
      <c r="K228" s="269"/>
      <c r="L228" s="270"/>
      <c r="M228" s="271"/>
      <c r="N228" s="109"/>
      <c r="O228" s="108"/>
      <c r="P228" s="108"/>
    </row>
    <row r="229" spans="1:16" s="15" customFormat="1" ht="55.5" customHeight="1">
      <c r="A229" s="100">
        <v>5</v>
      </c>
      <c r="B229" s="101" t="s">
        <v>160</v>
      </c>
      <c r="C229" s="241" t="s">
        <v>65</v>
      </c>
      <c r="D229" s="80" t="s">
        <v>294</v>
      </c>
      <c r="E229" s="55">
        <f>232774.7+3100/3.47</f>
        <v>233668.07175792509</v>
      </c>
      <c r="F229" s="55">
        <v>232774.7</v>
      </c>
      <c r="G229" s="94"/>
      <c r="H229" s="95"/>
      <c r="I229" s="95"/>
      <c r="J229" s="268"/>
      <c r="K229" s="270"/>
      <c r="L229" s="270"/>
      <c r="M229" s="275"/>
      <c r="N229" s="99"/>
      <c r="O229" s="50"/>
      <c r="P229" s="50"/>
    </row>
    <row r="230" spans="1:16" s="17" customFormat="1">
      <c r="A230" s="100"/>
      <c r="B230" s="72" t="s">
        <v>86</v>
      </c>
      <c r="C230" s="239"/>
      <c r="D230" s="92"/>
      <c r="E230" s="55" t="s">
        <v>286</v>
      </c>
      <c r="F230" s="55"/>
      <c r="G230" s="95"/>
      <c r="H230" s="66">
        <f t="shared" ref="H230:H235" si="35">I230+J230</f>
        <v>0</v>
      </c>
      <c r="I230" s="95"/>
      <c r="J230" s="268"/>
      <c r="K230" s="272"/>
      <c r="L230" s="270"/>
      <c r="M230" s="271"/>
      <c r="N230" s="102"/>
      <c r="O230" s="32"/>
      <c r="P230" s="32"/>
    </row>
    <row r="231" spans="1:16" s="18" customFormat="1">
      <c r="A231" s="100"/>
      <c r="B231" s="72" t="s">
        <v>85</v>
      </c>
      <c r="C231" s="239"/>
      <c r="D231" s="92"/>
      <c r="E231" s="55"/>
      <c r="F231" s="55">
        <f>F229</f>
        <v>232774.7</v>
      </c>
      <c r="G231" s="55">
        <f>F231*D4</f>
        <v>1358938.6986</v>
      </c>
      <c r="H231" s="66">
        <f t="shared" si="35"/>
        <v>3643.6</v>
      </c>
      <c r="I231" s="95"/>
      <c r="J231" s="268">
        <v>3643.6</v>
      </c>
      <c r="K231" s="272"/>
      <c r="L231" s="270"/>
      <c r="M231" s="271"/>
      <c r="N231" s="109"/>
      <c r="O231" s="108"/>
      <c r="P231" s="108"/>
    </row>
    <row r="232" spans="1:16" s="18" customFormat="1">
      <c r="A232" s="100"/>
      <c r="B232" s="72" t="s">
        <v>87</v>
      </c>
      <c r="C232" s="239"/>
      <c r="D232" s="92"/>
      <c r="E232" s="55"/>
      <c r="F232" s="55"/>
      <c r="G232" s="55"/>
      <c r="H232" s="66">
        <f t="shared" si="35"/>
        <v>0</v>
      </c>
      <c r="I232" s="95"/>
      <c r="J232" s="278"/>
      <c r="K232" s="272"/>
      <c r="L232" s="270"/>
      <c r="M232" s="271"/>
      <c r="N232" s="109"/>
      <c r="O232" s="108"/>
      <c r="P232" s="108"/>
    </row>
    <row r="233" spans="1:16" s="18" customFormat="1">
      <c r="A233" s="100"/>
      <c r="B233" s="72" t="s">
        <v>31</v>
      </c>
      <c r="C233" s="239"/>
      <c r="D233" s="123"/>
      <c r="E233" s="55"/>
      <c r="F233" s="55">
        <f>F231-H231/D4</f>
        <v>232150.58215142172</v>
      </c>
      <c r="G233" s="55">
        <f>F233*F4</f>
        <v>1548777.0268761362</v>
      </c>
      <c r="H233" s="66">
        <f t="shared" si="35"/>
        <v>20000</v>
      </c>
      <c r="I233" s="95"/>
      <c r="J233" s="268">
        <v>20000</v>
      </c>
      <c r="K233" s="270"/>
      <c r="L233" s="270"/>
      <c r="M233" s="271"/>
      <c r="N233" s="109"/>
      <c r="O233" s="108"/>
      <c r="P233" s="108"/>
    </row>
    <row r="234" spans="1:16" s="18" customFormat="1">
      <c r="A234" s="100"/>
      <c r="B234" s="72" t="s">
        <v>32</v>
      </c>
      <c r="C234" s="239"/>
      <c r="D234" s="92"/>
      <c r="E234" s="55"/>
      <c r="F234" s="55">
        <f>F233-H233/F4</f>
        <v>229152.7254151339</v>
      </c>
      <c r="G234" s="55">
        <f>F234*G4</f>
        <v>1629676.3106499615</v>
      </c>
      <c r="H234" s="66">
        <f t="shared" si="35"/>
        <v>0</v>
      </c>
      <c r="I234" s="95"/>
      <c r="J234" s="268"/>
      <c r="K234" s="272"/>
      <c r="L234" s="270"/>
      <c r="M234" s="268">
        <v>50000</v>
      </c>
      <c r="N234" s="109"/>
      <c r="O234" s="108"/>
      <c r="P234" s="108"/>
    </row>
    <row r="235" spans="1:16" s="18" customFormat="1">
      <c r="A235" s="100"/>
      <c r="B235" s="72" t="s">
        <v>33</v>
      </c>
      <c r="C235" s="239"/>
      <c r="D235" s="92"/>
      <c r="E235" s="55"/>
      <c r="F235" s="55">
        <f>F234-H234/G4</f>
        <v>229152.7254151339</v>
      </c>
      <c r="G235" s="55">
        <f>F235*H4</f>
        <v>1733975.5945315589</v>
      </c>
      <c r="H235" s="66">
        <f t="shared" si="35"/>
        <v>0</v>
      </c>
      <c r="I235" s="95"/>
      <c r="J235" s="268"/>
      <c r="K235" s="272"/>
      <c r="L235" s="270"/>
      <c r="M235" s="268">
        <v>50000</v>
      </c>
      <c r="N235" s="109"/>
      <c r="O235" s="108"/>
      <c r="P235" s="108"/>
    </row>
    <row r="236" spans="1:16" s="15" customFormat="1" ht="44.25" customHeight="1">
      <c r="A236" s="100">
        <v>6</v>
      </c>
      <c r="B236" s="101" t="s">
        <v>161</v>
      </c>
      <c r="C236" s="241" t="s">
        <v>231</v>
      </c>
      <c r="D236" s="80" t="s">
        <v>232</v>
      </c>
      <c r="E236" s="55">
        <f>F236</f>
        <v>2305.1375455043176</v>
      </c>
      <c r="F236" s="55">
        <f>F237</f>
        <v>2305.1375455043176</v>
      </c>
      <c r="G236" s="94"/>
      <c r="H236" s="95"/>
      <c r="I236" s="95"/>
      <c r="J236" s="268"/>
      <c r="K236" s="270"/>
      <c r="L236" s="270"/>
      <c r="M236" s="275"/>
      <c r="N236" s="99"/>
      <c r="O236" s="50"/>
      <c r="P236" s="50"/>
    </row>
    <row r="237" spans="1:16" s="17" customFormat="1">
      <c r="A237" s="100"/>
      <c r="B237" s="72" t="s">
        <v>86</v>
      </c>
      <c r="C237" s="239"/>
      <c r="D237" s="92"/>
      <c r="E237" s="55" t="s">
        <v>286</v>
      </c>
      <c r="F237" s="55">
        <f>G237/C4</f>
        <v>2305.1375455043176</v>
      </c>
      <c r="G237" s="55">
        <f>F238*C4+H237</f>
        <v>12816.564753004004</v>
      </c>
      <c r="H237" s="66">
        <f t="shared" ref="H237:H242" si="36">I237+J237</f>
        <v>595</v>
      </c>
      <c r="I237" s="95"/>
      <c r="J237" s="268">
        <v>595</v>
      </c>
      <c r="K237" s="272"/>
      <c r="L237" s="270"/>
      <c r="M237" s="271"/>
      <c r="N237" s="102"/>
      <c r="O237" s="32"/>
      <c r="P237" s="32"/>
    </row>
    <row r="238" spans="1:16" s="18" customFormat="1">
      <c r="A238" s="100"/>
      <c r="B238" s="72" t="s">
        <v>85</v>
      </c>
      <c r="C238" s="239"/>
      <c r="D238" s="92"/>
      <c r="E238" s="55"/>
      <c r="F238" s="55">
        <f>G238/D4</f>
        <v>2198.123157015109</v>
      </c>
      <c r="G238" s="55">
        <f>F239*D4+H238</f>
        <v>12832.642990654205</v>
      </c>
      <c r="H238" s="66">
        <f t="shared" si="36"/>
        <v>1870.4</v>
      </c>
      <c r="I238" s="95"/>
      <c r="J238" s="268">
        <v>1870.4</v>
      </c>
      <c r="K238" s="270"/>
      <c r="L238" s="270"/>
      <c r="M238" s="271"/>
      <c r="N238" s="109"/>
      <c r="O238" s="108"/>
      <c r="P238" s="108"/>
    </row>
    <row r="239" spans="1:16" s="18" customFormat="1">
      <c r="A239" s="100"/>
      <c r="B239" s="72" t="s">
        <v>87</v>
      </c>
      <c r="C239" s="239"/>
      <c r="D239" s="92"/>
      <c r="E239" s="103"/>
      <c r="F239" s="55">
        <f>G239/E4</f>
        <v>1877.7394639695453</v>
      </c>
      <c r="G239" s="55">
        <f>H239</f>
        <v>11729.6</v>
      </c>
      <c r="H239" s="66">
        <f t="shared" si="36"/>
        <v>11729.6</v>
      </c>
      <c r="I239" s="95"/>
      <c r="J239" s="268">
        <v>11729.6</v>
      </c>
      <c r="K239" s="272"/>
      <c r="L239" s="270"/>
      <c r="M239" s="271"/>
      <c r="N239" s="109"/>
      <c r="O239" s="108"/>
      <c r="P239" s="108"/>
    </row>
    <row r="240" spans="1:16" s="18" customFormat="1">
      <c r="A240" s="100"/>
      <c r="B240" s="72" t="s">
        <v>31</v>
      </c>
      <c r="C240" s="239"/>
      <c r="D240" s="92"/>
      <c r="E240" s="55"/>
      <c r="F240" s="55"/>
      <c r="G240" s="95"/>
      <c r="H240" s="66">
        <f t="shared" si="36"/>
        <v>0</v>
      </c>
      <c r="I240" s="95"/>
      <c r="J240" s="268"/>
      <c r="K240" s="269"/>
      <c r="L240" s="270"/>
      <c r="M240" s="271"/>
      <c r="N240" s="109"/>
      <c r="O240" s="108"/>
      <c r="P240" s="108"/>
    </row>
    <row r="241" spans="1:16" s="18" customFormat="1">
      <c r="A241" s="100"/>
      <c r="B241" s="72" t="s">
        <v>32</v>
      </c>
      <c r="C241" s="239"/>
      <c r="D241" s="92"/>
      <c r="E241" s="55"/>
      <c r="F241" s="55"/>
      <c r="G241" s="95"/>
      <c r="H241" s="66">
        <f t="shared" si="36"/>
        <v>0</v>
      </c>
      <c r="I241" s="95"/>
      <c r="J241" s="268"/>
      <c r="K241" s="269"/>
      <c r="L241" s="270"/>
      <c r="M241" s="271"/>
      <c r="N241" s="109"/>
      <c r="O241" s="108"/>
      <c r="P241" s="108"/>
    </row>
    <row r="242" spans="1:16" s="18" customFormat="1">
      <c r="A242" s="100"/>
      <c r="B242" s="72" t="s">
        <v>33</v>
      </c>
      <c r="C242" s="239"/>
      <c r="D242" s="92"/>
      <c r="E242" s="55"/>
      <c r="F242" s="55"/>
      <c r="G242" s="95"/>
      <c r="H242" s="66">
        <f t="shared" si="36"/>
        <v>0</v>
      </c>
      <c r="I242" s="95"/>
      <c r="J242" s="268"/>
      <c r="K242" s="269"/>
      <c r="L242" s="270"/>
      <c r="M242" s="271"/>
      <c r="N242" s="109"/>
      <c r="O242" s="108"/>
      <c r="P242" s="108"/>
    </row>
    <row r="243" spans="1:16" s="15" customFormat="1" ht="40.5" customHeight="1">
      <c r="A243" s="100">
        <v>7</v>
      </c>
      <c r="B243" s="101" t="s">
        <v>121</v>
      </c>
      <c r="C243" s="241" t="s">
        <v>233</v>
      </c>
      <c r="D243" s="80" t="s">
        <v>122</v>
      </c>
      <c r="E243" s="55">
        <v>10589</v>
      </c>
      <c r="F243" s="55">
        <f>F244</f>
        <v>7840.8701610140461</v>
      </c>
      <c r="G243" s="94"/>
      <c r="H243" s="95"/>
      <c r="I243" s="95"/>
      <c r="J243" s="268"/>
      <c r="K243" s="270"/>
      <c r="L243" s="270"/>
      <c r="M243" s="275"/>
      <c r="N243" s="99"/>
      <c r="O243" s="50"/>
      <c r="P243" s="50"/>
    </row>
    <row r="244" spans="1:16" s="17" customFormat="1">
      <c r="A244" s="100"/>
      <c r="B244" s="72" t="s">
        <v>86</v>
      </c>
      <c r="C244" s="239"/>
      <c r="D244" s="92"/>
      <c r="E244" s="55"/>
      <c r="F244" s="55">
        <f>G244/C4</f>
        <v>7840.8701610140461</v>
      </c>
      <c r="G244" s="95">
        <f>F245*C4+H244</f>
        <v>43595.238095238092</v>
      </c>
      <c r="H244" s="66">
        <f t="shared" ref="H244:H249" si="37">I244+J244</f>
        <v>5000</v>
      </c>
      <c r="I244" s="95"/>
      <c r="J244" s="268">
        <v>5000</v>
      </c>
      <c r="K244" s="272"/>
      <c r="L244" s="270"/>
      <c r="M244" s="271"/>
      <c r="N244" s="102"/>
      <c r="O244" s="32"/>
      <c r="P244" s="32"/>
    </row>
    <row r="245" spans="1:16" s="18" customFormat="1">
      <c r="A245" s="100"/>
      <c r="B245" s="72" t="s">
        <v>85</v>
      </c>
      <c r="C245" s="239"/>
      <c r="D245" s="92"/>
      <c r="E245" s="55"/>
      <c r="F245" s="55">
        <f>G245/D4</f>
        <v>6941.5895854744776</v>
      </c>
      <c r="G245" s="95">
        <f>H245</f>
        <v>40525</v>
      </c>
      <c r="H245" s="66">
        <f t="shared" si="37"/>
        <v>40525</v>
      </c>
      <c r="I245" s="95"/>
      <c r="J245" s="268">
        <v>40525</v>
      </c>
      <c r="K245" s="270"/>
      <c r="L245" s="270"/>
      <c r="M245" s="271"/>
      <c r="N245" s="109"/>
      <c r="O245" s="108"/>
      <c r="P245" s="108"/>
    </row>
    <row r="246" spans="1:16" s="18" customFormat="1">
      <c r="A246" s="100"/>
      <c r="B246" s="72" t="s">
        <v>87</v>
      </c>
      <c r="C246" s="239"/>
      <c r="D246" s="92"/>
      <c r="E246" s="103"/>
      <c r="F246" s="103"/>
      <c r="G246" s="104"/>
      <c r="H246" s="66">
        <f t="shared" si="37"/>
        <v>0</v>
      </c>
      <c r="I246" s="95"/>
      <c r="J246" s="268"/>
      <c r="K246" s="272"/>
      <c r="L246" s="270"/>
      <c r="M246" s="271"/>
      <c r="N246" s="109"/>
      <c r="O246" s="108"/>
      <c r="P246" s="108"/>
    </row>
    <row r="247" spans="1:16" s="18" customFormat="1">
      <c r="A247" s="100"/>
      <c r="B247" s="72" t="s">
        <v>31</v>
      </c>
      <c r="C247" s="239"/>
      <c r="D247" s="92"/>
      <c r="E247" s="55"/>
      <c r="F247" s="55"/>
      <c r="G247" s="95"/>
      <c r="H247" s="66">
        <f t="shared" si="37"/>
        <v>0</v>
      </c>
      <c r="I247" s="95"/>
      <c r="J247" s="268"/>
      <c r="K247" s="269"/>
      <c r="L247" s="270"/>
      <c r="M247" s="271"/>
      <c r="N247" s="109"/>
      <c r="O247" s="108"/>
      <c r="P247" s="108"/>
    </row>
    <row r="248" spans="1:16" s="18" customFormat="1">
      <c r="A248" s="100"/>
      <c r="B248" s="72" t="s">
        <v>32</v>
      </c>
      <c r="C248" s="239"/>
      <c r="D248" s="92"/>
      <c r="E248" s="55"/>
      <c r="F248" s="55"/>
      <c r="G248" s="95"/>
      <c r="H248" s="66">
        <f t="shared" si="37"/>
        <v>0</v>
      </c>
      <c r="I248" s="95"/>
      <c r="J248" s="268"/>
      <c r="K248" s="269"/>
      <c r="L248" s="270"/>
      <c r="M248" s="271"/>
      <c r="N248" s="109"/>
      <c r="O248" s="108"/>
      <c r="P248" s="108"/>
    </row>
    <row r="249" spans="1:16" s="18" customFormat="1">
      <c r="A249" s="100"/>
      <c r="B249" s="72" t="s">
        <v>33</v>
      </c>
      <c r="C249" s="239"/>
      <c r="D249" s="92"/>
      <c r="E249" s="55"/>
      <c r="F249" s="55"/>
      <c r="G249" s="95"/>
      <c r="H249" s="66">
        <f t="shared" si="37"/>
        <v>0</v>
      </c>
      <c r="I249" s="95"/>
      <c r="J249" s="268"/>
      <c r="K249" s="269"/>
      <c r="L249" s="270"/>
      <c r="M249" s="271"/>
      <c r="N249" s="109"/>
      <c r="O249" s="108"/>
      <c r="P249" s="108"/>
    </row>
    <row r="250" spans="1:16" s="18" customFormat="1" ht="57" customHeight="1">
      <c r="A250" s="100">
        <v>8</v>
      </c>
      <c r="B250" s="124" t="s">
        <v>162</v>
      </c>
      <c r="C250" s="241" t="s">
        <v>66</v>
      </c>
      <c r="D250" s="80" t="s">
        <v>297</v>
      </c>
      <c r="E250" s="70">
        <v>62949.599999999999</v>
      </c>
      <c r="F250" s="106"/>
      <c r="G250" s="94"/>
      <c r="H250" s="95"/>
      <c r="I250" s="95"/>
      <c r="J250" s="275"/>
      <c r="K250" s="275"/>
      <c r="L250" s="275"/>
      <c r="M250" s="275"/>
      <c r="N250" s="109"/>
      <c r="O250" s="108"/>
      <c r="P250" s="108"/>
    </row>
    <row r="251" spans="1:16" s="18" customFormat="1">
      <c r="A251" s="100"/>
      <c r="B251" s="72" t="s">
        <v>86</v>
      </c>
      <c r="C251" s="239"/>
      <c r="D251" s="92"/>
      <c r="E251" s="55" t="s">
        <v>286</v>
      </c>
      <c r="F251" s="55"/>
      <c r="G251" s="95"/>
      <c r="H251" s="66">
        <f t="shared" ref="H251:H256" si="38">I251+J251</f>
        <v>0</v>
      </c>
      <c r="I251" s="94"/>
      <c r="J251" s="279"/>
      <c r="K251" s="270"/>
      <c r="L251" s="270"/>
      <c r="M251" s="271"/>
      <c r="N251" s="109"/>
      <c r="O251" s="108"/>
      <c r="P251" s="108"/>
    </row>
    <row r="252" spans="1:16" s="18" customFormat="1">
      <c r="A252" s="100"/>
      <c r="B252" s="72" t="s">
        <v>85</v>
      </c>
      <c r="C252" s="239"/>
      <c r="D252" s="92"/>
      <c r="E252" s="55"/>
      <c r="F252" s="55"/>
      <c r="G252" s="95"/>
      <c r="H252" s="66">
        <f t="shared" si="38"/>
        <v>714</v>
      </c>
      <c r="I252" s="95"/>
      <c r="J252" s="268">
        <v>714</v>
      </c>
      <c r="K252" s="270"/>
      <c r="L252" s="270"/>
      <c r="M252" s="271"/>
      <c r="N252" s="109"/>
      <c r="O252" s="108"/>
      <c r="P252" s="108"/>
    </row>
    <row r="253" spans="1:16" s="18" customFormat="1">
      <c r="A253" s="100"/>
      <c r="B253" s="72" t="s">
        <v>87</v>
      </c>
      <c r="C253" s="239"/>
      <c r="D253" s="92"/>
      <c r="E253" s="55"/>
      <c r="F253" s="55"/>
      <c r="G253" s="95"/>
      <c r="H253" s="66">
        <f t="shared" si="38"/>
        <v>0</v>
      </c>
      <c r="I253" s="95"/>
      <c r="J253" s="278"/>
      <c r="K253" s="272"/>
      <c r="L253" s="270"/>
      <c r="M253" s="271"/>
      <c r="N253" s="109"/>
      <c r="O253" s="108"/>
      <c r="P253" s="108"/>
    </row>
    <row r="254" spans="1:16" s="18" customFormat="1">
      <c r="A254" s="100"/>
      <c r="B254" s="72" t="s">
        <v>31</v>
      </c>
      <c r="C254" s="239"/>
      <c r="D254" s="92"/>
      <c r="E254" s="55"/>
      <c r="F254" s="55"/>
      <c r="G254" s="95"/>
      <c r="H254" s="66">
        <f t="shared" si="38"/>
        <v>0</v>
      </c>
      <c r="I254" s="95"/>
      <c r="J254" s="268"/>
      <c r="K254" s="269"/>
      <c r="L254" s="270"/>
      <c r="M254" s="271"/>
      <c r="N254" s="109"/>
      <c r="O254" s="108"/>
      <c r="P254" s="108"/>
    </row>
    <row r="255" spans="1:16" s="18" customFormat="1">
      <c r="A255" s="100"/>
      <c r="B255" s="72" t="s">
        <v>32</v>
      </c>
      <c r="C255" s="239"/>
      <c r="D255" s="92"/>
      <c r="E255" s="55"/>
      <c r="F255" s="55"/>
      <c r="G255" s="95"/>
      <c r="H255" s="66">
        <f t="shared" si="38"/>
        <v>0</v>
      </c>
      <c r="I255" s="95"/>
      <c r="J255" s="268"/>
      <c r="K255" s="269"/>
      <c r="L255" s="270"/>
      <c r="M255" s="271"/>
      <c r="N255" s="109"/>
      <c r="O255" s="108"/>
      <c r="P255" s="108"/>
    </row>
    <row r="256" spans="1:16" s="18" customFormat="1">
      <c r="A256" s="100"/>
      <c r="B256" s="72" t="s">
        <v>33</v>
      </c>
      <c r="C256" s="239"/>
      <c r="D256" s="92"/>
      <c r="E256" s="55"/>
      <c r="F256" s="55"/>
      <c r="G256" s="95"/>
      <c r="H256" s="66">
        <f t="shared" si="38"/>
        <v>0</v>
      </c>
      <c r="I256" s="95"/>
      <c r="J256" s="268"/>
      <c r="K256" s="269"/>
      <c r="L256" s="270"/>
      <c r="M256" s="271"/>
      <c r="N256" s="109"/>
      <c r="O256" s="108"/>
      <c r="P256" s="108"/>
    </row>
    <row r="257" spans="1:16" s="15" customFormat="1" ht="53.25" customHeight="1">
      <c r="A257" s="100">
        <v>9</v>
      </c>
      <c r="B257" s="101" t="s">
        <v>67</v>
      </c>
      <c r="C257" s="241" t="s">
        <v>68</v>
      </c>
      <c r="D257" s="80" t="s">
        <v>123</v>
      </c>
      <c r="E257" s="55">
        <f>F257+770/3.47</f>
        <v>328.91640578027489</v>
      </c>
      <c r="F257" s="55">
        <f>F258</f>
        <v>107.01438848920864</v>
      </c>
      <c r="G257" s="94"/>
      <c r="H257" s="95"/>
      <c r="I257" s="95"/>
      <c r="J257" s="268"/>
      <c r="K257" s="270"/>
      <c r="L257" s="270"/>
      <c r="M257" s="275"/>
      <c r="N257" s="99"/>
      <c r="O257" s="50"/>
      <c r="P257" s="50"/>
    </row>
    <row r="258" spans="1:16" s="17" customFormat="1">
      <c r="A258" s="100"/>
      <c r="B258" s="72" t="s">
        <v>86</v>
      </c>
      <c r="C258" s="239"/>
      <c r="D258" s="92"/>
      <c r="E258" s="55" t="s">
        <v>285</v>
      </c>
      <c r="F258" s="55">
        <f>G258/C4</f>
        <v>107.01438848920864</v>
      </c>
      <c r="G258" s="95">
        <f>F262*C4+H258</f>
        <v>595</v>
      </c>
      <c r="H258" s="66">
        <f t="shared" ref="H258:H263" si="39">I258+J258</f>
        <v>595</v>
      </c>
      <c r="I258" s="95"/>
      <c r="J258" s="268">
        <v>595</v>
      </c>
      <c r="K258" s="272"/>
      <c r="L258" s="270"/>
      <c r="M258" s="271"/>
      <c r="N258" s="102"/>
      <c r="O258" s="32"/>
      <c r="P258" s="32"/>
    </row>
    <row r="259" spans="1:16" s="18" customFormat="1">
      <c r="A259" s="118"/>
      <c r="B259" s="72" t="s">
        <v>85</v>
      </c>
      <c r="C259" s="247"/>
      <c r="D259" s="120"/>
      <c r="E259" s="119"/>
      <c r="F259" s="119"/>
      <c r="G259" s="116"/>
      <c r="H259" s="66">
        <f t="shared" si="39"/>
        <v>0</v>
      </c>
      <c r="I259" s="116"/>
      <c r="J259" s="276"/>
      <c r="K259" s="270"/>
      <c r="L259" s="270"/>
      <c r="M259" s="271"/>
      <c r="N259" s="109"/>
      <c r="O259" s="108"/>
      <c r="P259" s="108"/>
    </row>
    <row r="260" spans="1:16" s="18" customFormat="1">
      <c r="A260" s="118"/>
      <c r="B260" s="72" t="s">
        <v>87</v>
      </c>
      <c r="C260" s="247"/>
      <c r="D260" s="120"/>
      <c r="E260" s="119"/>
      <c r="F260" s="119"/>
      <c r="G260" s="116"/>
      <c r="H260" s="66">
        <f t="shared" si="39"/>
        <v>0</v>
      </c>
      <c r="I260" s="116"/>
      <c r="J260" s="276"/>
      <c r="K260" s="272"/>
      <c r="L260" s="270"/>
      <c r="M260" s="271"/>
      <c r="N260" s="109"/>
      <c r="O260" s="108"/>
      <c r="P260" s="108"/>
    </row>
    <row r="261" spans="1:16" s="18" customFormat="1">
      <c r="A261" s="118"/>
      <c r="B261" s="72" t="s">
        <v>31</v>
      </c>
      <c r="C261" s="247"/>
      <c r="D261" s="120"/>
      <c r="E261" s="119"/>
      <c r="F261" s="119"/>
      <c r="G261" s="116"/>
      <c r="H261" s="66">
        <f t="shared" si="39"/>
        <v>0</v>
      </c>
      <c r="I261" s="116"/>
      <c r="J261" s="276"/>
      <c r="K261" s="272"/>
      <c r="L261" s="270"/>
      <c r="M261" s="271"/>
      <c r="N261" s="109"/>
      <c r="O261" s="108"/>
      <c r="P261" s="108"/>
    </row>
    <row r="262" spans="1:16" s="18" customFormat="1">
      <c r="A262" s="118"/>
      <c r="B262" s="72" t="s">
        <v>32</v>
      </c>
      <c r="C262" s="247"/>
      <c r="D262" s="120"/>
      <c r="E262" s="119"/>
      <c r="F262" s="66">
        <f>G262/G4</f>
        <v>0</v>
      </c>
      <c r="G262" s="66">
        <f>H262</f>
        <v>0</v>
      </c>
      <c r="H262" s="66">
        <f t="shared" si="39"/>
        <v>0</v>
      </c>
      <c r="I262" s="95"/>
      <c r="J262" s="268"/>
      <c r="K262" s="269"/>
      <c r="L262" s="270"/>
      <c r="M262" s="268">
        <v>45200</v>
      </c>
      <c r="N262" s="109"/>
      <c r="O262" s="108"/>
      <c r="P262" s="108"/>
    </row>
    <row r="263" spans="1:16" s="18" customFormat="1">
      <c r="A263" s="118"/>
      <c r="B263" s="72" t="s">
        <v>33</v>
      </c>
      <c r="C263" s="247"/>
      <c r="D263" s="120"/>
      <c r="E263" s="119"/>
      <c r="F263" s="119"/>
      <c r="G263" s="116"/>
      <c r="H263" s="66">
        <f t="shared" si="39"/>
        <v>0</v>
      </c>
      <c r="I263" s="116"/>
      <c r="J263" s="276"/>
      <c r="K263" s="269"/>
      <c r="L263" s="270"/>
      <c r="M263" s="271"/>
      <c r="N263" s="109"/>
      <c r="O263" s="108"/>
      <c r="P263" s="108"/>
    </row>
    <row r="264" spans="1:16" s="15" customFormat="1" ht="66.75" customHeight="1">
      <c r="A264" s="100">
        <v>10</v>
      </c>
      <c r="B264" s="101" t="s">
        <v>163</v>
      </c>
      <c r="C264" s="241" t="s">
        <v>364</v>
      </c>
      <c r="D264" s="80" t="s">
        <v>298</v>
      </c>
      <c r="E264" s="106"/>
      <c r="F264" s="106"/>
      <c r="G264" s="94"/>
      <c r="H264" s="95"/>
      <c r="I264" s="95"/>
      <c r="J264" s="268"/>
      <c r="K264" s="270"/>
      <c r="L264" s="270"/>
      <c r="M264" s="275"/>
      <c r="N264" s="99"/>
      <c r="O264" s="50"/>
      <c r="P264" s="50"/>
    </row>
    <row r="265" spans="1:16" s="17" customFormat="1">
      <c r="A265" s="100"/>
      <c r="B265" s="72" t="s">
        <v>86</v>
      </c>
      <c r="C265" s="239"/>
      <c r="D265" s="92"/>
      <c r="E265" s="55"/>
      <c r="F265" s="55"/>
      <c r="G265" s="95"/>
      <c r="H265" s="66">
        <f t="shared" ref="H265:H270" si="40">I265+J265</f>
        <v>312</v>
      </c>
      <c r="I265" s="95"/>
      <c r="J265" s="268">
        <v>312</v>
      </c>
      <c r="K265" s="272"/>
      <c r="L265" s="270"/>
      <c r="M265" s="271"/>
      <c r="N265" s="102"/>
      <c r="O265" s="32"/>
      <c r="P265" s="32"/>
    </row>
    <row r="266" spans="1:16" s="18" customFormat="1">
      <c r="A266" s="118"/>
      <c r="B266" s="72" t="s">
        <v>85</v>
      </c>
      <c r="C266" s="247"/>
      <c r="D266" s="120"/>
      <c r="E266" s="119"/>
      <c r="F266" s="119"/>
      <c r="G266" s="116"/>
      <c r="H266" s="66">
        <f t="shared" si="40"/>
        <v>0</v>
      </c>
      <c r="I266" s="116"/>
      <c r="J266" s="276"/>
      <c r="K266" s="272"/>
      <c r="L266" s="270"/>
      <c r="M266" s="271"/>
      <c r="N266" s="109"/>
      <c r="O266" s="108"/>
      <c r="P266" s="108"/>
    </row>
    <row r="267" spans="1:16" s="18" customFormat="1">
      <c r="A267" s="118"/>
      <c r="B267" s="72" t="s">
        <v>87</v>
      </c>
      <c r="C267" s="247"/>
      <c r="D267" s="120"/>
      <c r="E267" s="119"/>
      <c r="F267" s="119"/>
      <c r="G267" s="116"/>
      <c r="H267" s="66">
        <f t="shared" si="40"/>
        <v>0</v>
      </c>
      <c r="I267" s="116"/>
      <c r="J267" s="276"/>
      <c r="K267" s="272"/>
      <c r="L267" s="270"/>
      <c r="M267" s="271"/>
      <c r="N267" s="109"/>
      <c r="O267" s="108"/>
      <c r="P267" s="108"/>
    </row>
    <row r="268" spans="1:16" s="18" customFormat="1">
      <c r="A268" s="118"/>
      <c r="B268" s="72" t="s">
        <v>31</v>
      </c>
      <c r="C268" s="247"/>
      <c r="D268" s="120"/>
      <c r="E268" s="119"/>
      <c r="F268" s="119"/>
      <c r="G268" s="116"/>
      <c r="H268" s="66">
        <f t="shared" si="40"/>
        <v>0</v>
      </c>
      <c r="I268" s="116"/>
      <c r="J268" s="277"/>
      <c r="K268" s="269"/>
      <c r="L268" s="270"/>
      <c r="M268" s="271"/>
      <c r="N268" s="109"/>
      <c r="O268" s="108"/>
      <c r="P268" s="108"/>
    </row>
    <row r="269" spans="1:16" s="18" customFormat="1">
      <c r="A269" s="118"/>
      <c r="B269" s="72" t="s">
        <v>32</v>
      </c>
      <c r="C269" s="247"/>
      <c r="D269" s="120"/>
      <c r="E269" s="119"/>
      <c r="F269" s="119"/>
      <c r="G269" s="116"/>
      <c r="H269" s="66">
        <f t="shared" si="40"/>
        <v>0</v>
      </c>
      <c r="I269" s="116"/>
      <c r="J269" s="276"/>
      <c r="K269" s="269"/>
      <c r="L269" s="270"/>
      <c r="M269" s="271"/>
      <c r="N269" s="109"/>
      <c r="O269" s="108"/>
      <c r="P269" s="108"/>
    </row>
    <row r="270" spans="1:16" s="18" customFormat="1">
      <c r="A270" s="118"/>
      <c r="B270" s="72" t="s">
        <v>33</v>
      </c>
      <c r="C270" s="247"/>
      <c r="D270" s="120"/>
      <c r="E270" s="119"/>
      <c r="F270" s="119"/>
      <c r="G270" s="116"/>
      <c r="H270" s="66">
        <f t="shared" si="40"/>
        <v>0</v>
      </c>
      <c r="I270" s="95"/>
      <c r="J270" s="268"/>
      <c r="K270" s="269"/>
      <c r="L270" s="270"/>
      <c r="M270" s="268">
        <v>37862</v>
      </c>
      <c r="N270" s="109"/>
      <c r="O270" s="108"/>
      <c r="P270" s="108"/>
    </row>
    <row r="271" spans="1:16" s="15" customFormat="1" ht="57.75" customHeight="1">
      <c r="A271" s="100">
        <v>11</v>
      </c>
      <c r="B271" s="101" t="s">
        <v>164</v>
      </c>
      <c r="C271" s="241" t="s">
        <v>125</v>
      </c>
      <c r="D271" s="80" t="s">
        <v>299</v>
      </c>
      <c r="E271" s="106"/>
      <c r="F271" s="106"/>
      <c r="G271" s="94"/>
      <c r="H271" s="95"/>
      <c r="I271" s="95"/>
      <c r="J271" s="268"/>
      <c r="K271" s="270"/>
      <c r="L271" s="270"/>
      <c r="M271" s="275"/>
      <c r="N271" s="99"/>
      <c r="O271" s="50"/>
      <c r="P271" s="50"/>
    </row>
    <row r="272" spans="1:16" s="17" customFormat="1">
      <c r="A272" s="100"/>
      <c r="B272" s="72" t="s">
        <v>86</v>
      </c>
      <c r="C272" s="239"/>
      <c r="D272" s="92"/>
      <c r="E272" s="55"/>
      <c r="F272" s="55"/>
      <c r="G272" s="95"/>
      <c r="H272" s="66">
        <f t="shared" ref="H272:H277" si="41">I272+J272</f>
        <v>500</v>
      </c>
      <c r="I272" s="95"/>
      <c r="J272" s="268">
        <v>500</v>
      </c>
      <c r="K272" s="272"/>
      <c r="L272" s="270"/>
      <c r="M272" s="271"/>
      <c r="N272" s="102"/>
      <c r="O272" s="32"/>
      <c r="P272" s="32"/>
    </row>
    <row r="273" spans="1:16" s="18" customFormat="1">
      <c r="A273" s="118"/>
      <c r="B273" s="72" t="s">
        <v>85</v>
      </c>
      <c r="C273" s="247"/>
      <c r="D273" s="120"/>
      <c r="E273" s="119"/>
      <c r="F273" s="119"/>
      <c r="G273" s="116"/>
      <c r="H273" s="66">
        <f t="shared" si="41"/>
        <v>0</v>
      </c>
      <c r="I273" s="116"/>
      <c r="J273" s="276"/>
      <c r="K273" s="272"/>
      <c r="L273" s="270"/>
      <c r="M273" s="271"/>
      <c r="N273" s="109"/>
      <c r="O273" s="108"/>
      <c r="P273" s="108"/>
    </row>
    <row r="274" spans="1:16" s="18" customFormat="1">
      <c r="A274" s="118"/>
      <c r="B274" s="72" t="s">
        <v>87</v>
      </c>
      <c r="C274" s="247"/>
      <c r="D274" s="120"/>
      <c r="E274" s="119"/>
      <c r="F274" s="119"/>
      <c r="G274" s="116"/>
      <c r="H274" s="66">
        <f t="shared" si="41"/>
        <v>0</v>
      </c>
      <c r="I274" s="116"/>
      <c r="J274" s="276"/>
      <c r="K274" s="272"/>
      <c r="L274" s="270"/>
      <c r="M274" s="271"/>
      <c r="N274" s="109"/>
      <c r="O274" s="108"/>
      <c r="P274" s="108"/>
    </row>
    <row r="275" spans="1:16" s="18" customFormat="1">
      <c r="A275" s="118"/>
      <c r="B275" s="72" t="s">
        <v>31</v>
      </c>
      <c r="C275" s="247"/>
      <c r="D275" s="120"/>
      <c r="E275" s="119"/>
      <c r="F275" s="119"/>
      <c r="G275" s="116"/>
      <c r="H275" s="66">
        <f t="shared" si="41"/>
        <v>0</v>
      </c>
      <c r="I275" s="116"/>
      <c r="J275" s="277"/>
      <c r="K275" s="270"/>
      <c r="L275" s="270"/>
      <c r="M275" s="271"/>
      <c r="N275" s="109"/>
      <c r="O275" s="108"/>
      <c r="P275" s="108"/>
    </row>
    <row r="276" spans="1:16" s="18" customFormat="1">
      <c r="A276" s="118"/>
      <c r="B276" s="72" t="s">
        <v>32</v>
      </c>
      <c r="C276" s="247"/>
      <c r="D276" s="120"/>
      <c r="E276" s="119"/>
      <c r="F276" s="119"/>
      <c r="G276" s="116"/>
      <c r="H276" s="66">
        <f t="shared" si="41"/>
        <v>0</v>
      </c>
      <c r="I276" s="116"/>
      <c r="J276" s="276"/>
      <c r="K276" s="272"/>
      <c r="L276" s="270"/>
      <c r="M276" s="271"/>
      <c r="N276" s="109"/>
      <c r="O276" s="108"/>
      <c r="P276" s="108"/>
    </row>
    <row r="277" spans="1:16" s="18" customFormat="1">
      <c r="A277" s="118"/>
      <c r="B277" s="72" t="s">
        <v>33</v>
      </c>
      <c r="C277" s="247"/>
      <c r="D277" s="120"/>
      <c r="E277" s="119"/>
      <c r="F277" s="119"/>
      <c r="G277" s="116"/>
      <c r="H277" s="66">
        <f t="shared" si="41"/>
        <v>0</v>
      </c>
      <c r="I277" s="116"/>
      <c r="J277" s="276"/>
      <c r="K277" s="272"/>
      <c r="L277" s="270"/>
      <c r="M277" s="271"/>
      <c r="N277" s="109"/>
      <c r="O277" s="108"/>
      <c r="P277" s="108"/>
    </row>
    <row r="278" spans="1:16" s="15" customFormat="1" ht="66.75" customHeight="1">
      <c r="A278" s="100">
        <v>12</v>
      </c>
      <c r="B278" s="101" t="s">
        <v>165</v>
      </c>
      <c r="C278" s="241" t="s">
        <v>295</v>
      </c>
      <c r="D278" s="80" t="s">
        <v>80</v>
      </c>
      <c r="E278" s="55">
        <f>F278+1270/3.47</f>
        <v>383.97984782203054</v>
      </c>
      <c r="F278" s="55">
        <f>F279</f>
        <v>17.985611510791369</v>
      </c>
      <c r="G278" s="94"/>
      <c r="H278" s="95"/>
      <c r="I278" s="95"/>
      <c r="J278" s="268"/>
      <c r="K278" s="270"/>
      <c r="L278" s="270"/>
      <c r="M278" s="275"/>
      <c r="N278" s="99"/>
      <c r="O278" s="50"/>
      <c r="P278" s="50"/>
    </row>
    <row r="279" spans="1:16" s="17" customFormat="1">
      <c r="A279" s="100"/>
      <c r="B279" s="72" t="s">
        <v>86</v>
      </c>
      <c r="C279" s="239"/>
      <c r="D279" s="92"/>
      <c r="E279" s="55" t="s">
        <v>285</v>
      </c>
      <c r="F279" s="55">
        <f>G279/C4</f>
        <v>17.985611510791369</v>
      </c>
      <c r="G279" s="95">
        <f>F284*C4+H279</f>
        <v>100</v>
      </c>
      <c r="H279" s="66">
        <f t="shared" ref="H279:H284" si="42">I279+J279</f>
        <v>100</v>
      </c>
      <c r="I279" s="95"/>
      <c r="J279" s="268">
        <v>100</v>
      </c>
      <c r="K279" s="272"/>
      <c r="L279" s="270"/>
      <c r="M279" s="271"/>
      <c r="N279" s="102"/>
      <c r="O279" s="32"/>
      <c r="P279" s="32"/>
    </row>
    <row r="280" spans="1:16" s="18" customFormat="1">
      <c r="A280" s="118"/>
      <c r="B280" s="72" t="s">
        <v>85</v>
      </c>
      <c r="C280" s="247"/>
      <c r="D280" s="120"/>
      <c r="E280" s="119"/>
      <c r="F280" s="119"/>
      <c r="G280" s="116"/>
      <c r="H280" s="66">
        <f t="shared" si="42"/>
        <v>0</v>
      </c>
      <c r="I280" s="116"/>
      <c r="J280" s="276"/>
      <c r="K280" s="272"/>
      <c r="L280" s="270"/>
      <c r="M280" s="271"/>
      <c r="N280" s="109"/>
      <c r="O280" s="108"/>
      <c r="P280" s="108"/>
    </row>
    <row r="281" spans="1:16" s="18" customFormat="1">
      <c r="A281" s="118"/>
      <c r="B281" s="72" t="s">
        <v>87</v>
      </c>
      <c r="C281" s="247"/>
      <c r="D281" s="120"/>
      <c r="E281" s="119"/>
      <c r="F281" s="119"/>
      <c r="G281" s="116"/>
      <c r="H281" s="66">
        <f t="shared" si="42"/>
        <v>0</v>
      </c>
      <c r="I281" s="116"/>
      <c r="J281" s="276"/>
      <c r="K281" s="269"/>
      <c r="L281" s="270"/>
      <c r="M281" s="271"/>
      <c r="N281" s="109"/>
      <c r="O281" s="108"/>
      <c r="P281" s="108"/>
    </row>
    <row r="282" spans="1:16" s="18" customFormat="1">
      <c r="A282" s="118"/>
      <c r="B282" s="72" t="s">
        <v>31</v>
      </c>
      <c r="C282" s="247"/>
      <c r="D282" s="120"/>
      <c r="E282" s="119"/>
      <c r="F282" s="119"/>
      <c r="G282" s="116"/>
      <c r="H282" s="66">
        <f t="shared" si="42"/>
        <v>0</v>
      </c>
      <c r="I282" s="116"/>
      <c r="J282" s="277"/>
      <c r="K282" s="269"/>
      <c r="L282" s="270"/>
      <c r="M282" s="271"/>
      <c r="N282" s="109"/>
      <c r="O282" s="108"/>
      <c r="P282" s="108"/>
    </row>
    <row r="283" spans="1:16" s="18" customFormat="1">
      <c r="A283" s="118"/>
      <c r="B283" s="72" t="s">
        <v>32</v>
      </c>
      <c r="C283" s="247"/>
      <c r="D283" s="120"/>
      <c r="E283" s="119"/>
      <c r="F283" s="119"/>
      <c r="G283" s="116"/>
      <c r="H283" s="66">
        <f t="shared" si="42"/>
        <v>0</v>
      </c>
      <c r="I283" s="116"/>
      <c r="J283" s="276"/>
      <c r="K283" s="272"/>
      <c r="L283" s="270"/>
      <c r="M283" s="271"/>
      <c r="N283" s="109"/>
      <c r="O283" s="108"/>
      <c r="P283" s="108"/>
    </row>
    <row r="284" spans="1:16" s="18" customFormat="1">
      <c r="A284" s="118"/>
      <c r="B284" s="72" t="s">
        <v>33</v>
      </c>
      <c r="C284" s="247"/>
      <c r="D284" s="120"/>
      <c r="E284" s="119"/>
      <c r="F284" s="66">
        <f>G284/H4</f>
        <v>0</v>
      </c>
      <c r="G284" s="66">
        <f>H284</f>
        <v>0</v>
      </c>
      <c r="H284" s="66">
        <f t="shared" si="42"/>
        <v>0</v>
      </c>
      <c r="I284" s="95"/>
      <c r="J284" s="268"/>
      <c r="K284" s="272"/>
      <c r="L284" s="270"/>
      <c r="M284" s="268">
        <v>29626.7</v>
      </c>
      <c r="N284" s="109"/>
      <c r="O284" s="108"/>
      <c r="P284" s="108"/>
    </row>
    <row r="285" spans="1:16" s="18" customFormat="1" ht="53.25" customHeight="1">
      <c r="A285" s="100">
        <v>13</v>
      </c>
      <c r="B285" s="124" t="s">
        <v>69</v>
      </c>
      <c r="C285" s="241" t="s">
        <v>70</v>
      </c>
      <c r="D285" s="80" t="s">
        <v>41</v>
      </c>
      <c r="E285" s="70">
        <f>F285+1529.9/3.47</f>
        <v>27419.293371757925</v>
      </c>
      <c r="F285" s="70">
        <v>26978.400000000001</v>
      </c>
      <c r="G285" s="95"/>
      <c r="H285" s="95"/>
      <c r="I285" s="95"/>
      <c r="J285" s="268"/>
      <c r="K285" s="272"/>
      <c r="L285" s="270"/>
      <c r="M285" s="275"/>
      <c r="N285" s="109"/>
      <c r="O285" s="108"/>
      <c r="P285" s="108"/>
    </row>
    <row r="286" spans="1:16" s="18" customFormat="1">
      <c r="A286" s="100"/>
      <c r="B286" s="72" t="s">
        <v>86</v>
      </c>
      <c r="C286" s="239"/>
      <c r="D286" s="92"/>
      <c r="E286" s="125" t="s">
        <v>285</v>
      </c>
      <c r="F286" s="55"/>
      <c r="G286" s="95"/>
      <c r="H286" s="66">
        <f t="shared" ref="H286:H289" si="43">I286+J286</f>
        <v>0</v>
      </c>
      <c r="I286" s="95"/>
      <c r="J286" s="268"/>
      <c r="K286" s="272"/>
      <c r="L286" s="270"/>
      <c r="M286" s="271"/>
      <c r="N286" s="109"/>
      <c r="O286" s="108"/>
      <c r="P286" s="108"/>
    </row>
    <row r="287" spans="1:16" s="18" customFormat="1">
      <c r="A287" s="100"/>
      <c r="B287" s="72" t="s">
        <v>85</v>
      </c>
      <c r="C287" s="239"/>
      <c r="D287" s="92"/>
      <c r="E287" s="55"/>
      <c r="F287" s="55"/>
      <c r="G287" s="95"/>
      <c r="H287" s="66">
        <f t="shared" si="43"/>
        <v>0</v>
      </c>
      <c r="I287" s="95"/>
      <c r="J287" s="268"/>
      <c r="K287" s="272"/>
      <c r="L287" s="270"/>
      <c r="M287" s="271"/>
      <c r="N287" s="109"/>
      <c r="O287" s="108"/>
      <c r="P287" s="108"/>
    </row>
    <row r="288" spans="1:16" s="18" customFormat="1">
      <c r="A288" s="100"/>
      <c r="B288" s="72" t="s">
        <v>87</v>
      </c>
      <c r="C288" s="239"/>
      <c r="D288" s="92"/>
      <c r="E288" s="55"/>
      <c r="F288" s="55"/>
      <c r="G288" s="95"/>
      <c r="H288" s="66">
        <f t="shared" si="43"/>
        <v>0</v>
      </c>
      <c r="I288" s="95"/>
      <c r="J288" s="268"/>
      <c r="K288" s="272"/>
      <c r="L288" s="270"/>
      <c r="M288" s="271"/>
      <c r="N288" s="109"/>
      <c r="O288" s="108"/>
      <c r="P288" s="108"/>
    </row>
    <row r="289" spans="1:16" s="18" customFormat="1">
      <c r="A289" s="100"/>
      <c r="B289" s="72" t="s">
        <v>31</v>
      </c>
      <c r="C289" s="239"/>
      <c r="D289" s="92"/>
      <c r="E289" s="55"/>
      <c r="F289" s="66">
        <f>F285</f>
        <v>26978.400000000001</v>
      </c>
      <c r="G289" s="66">
        <f>F289*F4</f>
        <v>179984.58480979205</v>
      </c>
      <c r="H289" s="66">
        <f t="shared" si="43"/>
        <v>10000</v>
      </c>
      <c r="I289" s="126"/>
      <c r="J289" s="280">
        <v>10000</v>
      </c>
      <c r="K289" s="272"/>
      <c r="L289" s="270"/>
      <c r="M289" s="271"/>
      <c r="N289" s="109"/>
      <c r="O289" s="108"/>
      <c r="P289" s="108"/>
    </row>
    <row r="290" spans="1:16" s="18" customFormat="1">
      <c r="A290" s="100"/>
      <c r="B290" s="72" t="s">
        <v>32</v>
      </c>
      <c r="C290" s="239"/>
      <c r="D290" s="92"/>
      <c r="E290" s="55"/>
      <c r="F290" s="66"/>
      <c r="G290" s="66"/>
      <c r="H290" s="66"/>
      <c r="I290" s="126"/>
      <c r="J290" s="280"/>
      <c r="K290" s="269"/>
      <c r="L290" s="270"/>
      <c r="M290" s="271"/>
      <c r="N290" s="109"/>
      <c r="O290" s="108"/>
      <c r="P290" s="108"/>
    </row>
    <row r="291" spans="1:16" s="18" customFormat="1">
      <c r="A291" s="100"/>
      <c r="B291" s="72" t="s">
        <v>33</v>
      </c>
      <c r="C291" s="239"/>
      <c r="D291" s="92"/>
      <c r="E291" s="55"/>
      <c r="F291" s="66"/>
      <c r="G291" s="66"/>
      <c r="H291" s="66"/>
      <c r="I291" s="126"/>
      <c r="J291" s="280"/>
      <c r="K291" s="269"/>
      <c r="L291" s="270"/>
      <c r="M291" s="271"/>
      <c r="N291" s="109"/>
      <c r="O291" s="108"/>
      <c r="P291" s="108"/>
    </row>
    <row r="292" spans="1:16" s="18" customFormat="1" ht="38.25">
      <c r="A292" s="100">
        <v>14</v>
      </c>
      <c r="B292" s="127" t="s">
        <v>71</v>
      </c>
      <c r="C292" s="241" t="s">
        <v>59</v>
      </c>
      <c r="D292" s="80" t="s">
        <v>300</v>
      </c>
      <c r="E292" s="70">
        <f>F292+1502.5/3.47</f>
        <v>61440.273789923012</v>
      </c>
      <c r="F292" s="70">
        <f>F294</f>
        <v>61007.276671767395</v>
      </c>
      <c r="G292" s="94"/>
      <c r="H292" s="95"/>
      <c r="I292" s="95"/>
      <c r="J292" s="268"/>
      <c r="K292" s="269"/>
      <c r="L292" s="270"/>
      <c r="M292" s="275"/>
      <c r="N292" s="109"/>
      <c r="O292" s="108"/>
      <c r="P292" s="108"/>
    </row>
    <row r="293" spans="1:16" s="18" customFormat="1">
      <c r="A293" s="100"/>
      <c r="B293" s="72" t="s">
        <v>86</v>
      </c>
      <c r="C293" s="239"/>
      <c r="D293" s="92"/>
      <c r="E293" s="55"/>
      <c r="F293" s="55"/>
      <c r="G293" s="95"/>
      <c r="H293" s="66">
        <f t="shared" ref="H293:H298" si="44">I293+J293</f>
        <v>0</v>
      </c>
      <c r="I293" s="95"/>
      <c r="J293" s="278"/>
      <c r="K293" s="269"/>
      <c r="L293" s="270"/>
      <c r="M293" s="271"/>
      <c r="N293" s="109"/>
      <c r="O293" s="108"/>
      <c r="P293" s="108"/>
    </row>
    <row r="294" spans="1:16" s="18" customFormat="1">
      <c r="A294" s="100"/>
      <c r="B294" s="72" t="s">
        <v>85</v>
      </c>
      <c r="C294" s="239"/>
      <c r="D294" s="92"/>
      <c r="E294" s="55"/>
      <c r="F294" s="66">
        <f>G294/D4</f>
        <v>61007.276671767395</v>
      </c>
      <c r="G294" s="66">
        <f>F295*D4+H294</f>
        <v>356160.48120977805</v>
      </c>
      <c r="H294" s="66">
        <f t="shared" si="44"/>
        <v>10000</v>
      </c>
      <c r="I294" s="95"/>
      <c r="J294" s="278">
        <v>10000</v>
      </c>
      <c r="K294" s="269"/>
      <c r="L294" s="270"/>
      <c r="M294" s="271"/>
      <c r="N294" s="109"/>
      <c r="O294" s="108"/>
      <c r="P294" s="108"/>
    </row>
    <row r="295" spans="1:16" s="18" customFormat="1">
      <c r="A295" s="100"/>
      <c r="B295" s="72" t="s">
        <v>87</v>
      </c>
      <c r="C295" s="239"/>
      <c r="D295" s="123"/>
      <c r="E295" s="55"/>
      <c r="F295" s="66">
        <f>G295/E4</f>
        <v>59294.361289787266</v>
      </c>
      <c r="G295" s="66">
        <f>F297*E4+H295</f>
        <v>370391.71489446255</v>
      </c>
      <c r="H295" s="66">
        <f t="shared" si="44"/>
        <v>5000</v>
      </c>
      <c r="I295" s="95"/>
      <c r="J295" s="268">
        <v>5000</v>
      </c>
      <c r="K295" s="269"/>
      <c r="L295" s="270"/>
      <c r="M295" s="271"/>
      <c r="N295" s="109"/>
      <c r="O295" s="108"/>
      <c r="P295" s="108"/>
    </row>
    <row r="296" spans="1:16" s="18" customFormat="1">
      <c r="A296" s="100"/>
      <c r="B296" s="72" t="s">
        <v>31</v>
      </c>
      <c r="C296" s="239"/>
      <c r="D296" s="123"/>
      <c r="E296" s="55"/>
      <c r="F296" s="66"/>
      <c r="G296" s="66"/>
      <c r="H296" s="66">
        <f t="shared" si="44"/>
        <v>0</v>
      </c>
      <c r="I296" s="95"/>
      <c r="J296" s="268"/>
      <c r="K296" s="269"/>
      <c r="L296" s="270"/>
      <c r="M296" s="271"/>
      <c r="N296" s="109"/>
      <c r="O296" s="108"/>
      <c r="P296" s="108"/>
    </row>
    <row r="297" spans="1:16" s="18" customFormat="1">
      <c r="A297" s="100"/>
      <c r="B297" s="72" t="s">
        <v>32</v>
      </c>
      <c r="C297" s="239"/>
      <c r="D297" s="92"/>
      <c r="E297" s="55"/>
      <c r="F297" s="66">
        <f>G297/G4</f>
        <v>58493.933541198421</v>
      </c>
      <c r="G297" s="66">
        <f>F298*G4+H297</f>
        <v>415994.08270676696</v>
      </c>
      <c r="H297" s="66">
        <f t="shared" si="44"/>
        <v>126261</v>
      </c>
      <c r="I297" s="95"/>
      <c r="J297" s="268">
        <v>126261</v>
      </c>
      <c r="K297" s="269"/>
      <c r="L297" s="270"/>
      <c r="M297" s="271"/>
      <c r="N297" s="109"/>
      <c r="O297" s="108"/>
      <c r="P297" s="108"/>
    </row>
    <row r="298" spans="1:16" s="18" customFormat="1">
      <c r="A298" s="100"/>
      <c r="B298" s="72" t="s">
        <v>33</v>
      </c>
      <c r="C298" s="239"/>
      <c r="D298" s="92"/>
      <c r="E298" s="55"/>
      <c r="F298" s="66">
        <f>G298/H4</f>
        <v>40740.069123729591</v>
      </c>
      <c r="G298" s="66">
        <f>H298</f>
        <v>308276</v>
      </c>
      <c r="H298" s="66">
        <f t="shared" si="44"/>
        <v>308276</v>
      </c>
      <c r="I298" s="95"/>
      <c r="J298" s="268">
        <v>308276</v>
      </c>
      <c r="K298" s="269"/>
      <c r="L298" s="270"/>
      <c r="M298" s="268">
        <v>13166.7</v>
      </c>
      <c r="N298" s="109"/>
      <c r="O298" s="108"/>
      <c r="P298" s="108"/>
    </row>
    <row r="299" spans="1:16" s="18" customFormat="1" ht="31.5">
      <c r="A299" s="100">
        <v>15</v>
      </c>
      <c r="B299" s="128" t="s">
        <v>166</v>
      </c>
      <c r="C299" s="241" t="s">
        <v>365</v>
      </c>
      <c r="D299" s="80" t="s">
        <v>301</v>
      </c>
      <c r="E299" s="70">
        <f>F299+1575.7/3.47</f>
        <v>108367.79221902016</v>
      </c>
      <c r="F299" s="70">
        <v>107913.7</v>
      </c>
      <c r="G299" s="94"/>
      <c r="H299" s="95"/>
      <c r="I299" s="95"/>
      <c r="J299" s="268"/>
      <c r="K299" s="272"/>
      <c r="L299" s="270"/>
      <c r="M299" s="275"/>
      <c r="N299" s="109"/>
      <c r="O299" s="108"/>
      <c r="P299" s="108"/>
    </row>
    <row r="300" spans="1:16" s="18" customFormat="1">
      <c r="A300" s="100"/>
      <c r="B300" s="72" t="s">
        <v>86</v>
      </c>
      <c r="C300" s="239"/>
      <c r="D300" s="92"/>
      <c r="E300" s="55" t="s">
        <v>285</v>
      </c>
      <c r="F300" s="125"/>
      <c r="G300" s="95"/>
      <c r="H300" s="66">
        <f t="shared" ref="H300:H305" si="45">I300+J300</f>
        <v>0</v>
      </c>
      <c r="I300" s="95"/>
      <c r="J300" s="268"/>
      <c r="K300" s="270"/>
      <c r="L300" s="272"/>
      <c r="M300" s="281"/>
      <c r="N300" s="109"/>
      <c r="O300" s="108"/>
      <c r="P300" s="108"/>
    </row>
    <row r="301" spans="1:16" s="18" customFormat="1">
      <c r="A301" s="100"/>
      <c r="B301" s="72" t="s">
        <v>85</v>
      </c>
      <c r="C301" s="239"/>
      <c r="D301" s="92"/>
      <c r="E301" s="55"/>
      <c r="F301" s="55"/>
      <c r="G301" s="95"/>
      <c r="H301" s="66">
        <f t="shared" si="45"/>
        <v>0</v>
      </c>
      <c r="I301" s="95"/>
      <c r="J301" s="268"/>
      <c r="K301" s="272"/>
      <c r="L301" s="269"/>
      <c r="M301" s="282"/>
      <c r="N301" s="109"/>
      <c r="O301" s="108"/>
      <c r="P301" s="108"/>
    </row>
    <row r="302" spans="1:16" s="18" customFormat="1">
      <c r="A302" s="100"/>
      <c r="B302" s="72" t="s">
        <v>87</v>
      </c>
      <c r="C302" s="239"/>
      <c r="D302" s="92"/>
      <c r="E302" s="55"/>
      <c r="F302" s="70">
        <f>F299</f>
        <v>107913.7</v>
      </c>
      <c r="G302" s="66">
        <f>F302*E4</f>
        <v>674100.19324200007</v>
      </c>
      <c r="H302" s="66">
        <f t="shared" si="45"/>
        <v>10000</v>
      </c>
      <c r="I302" s="95"/>
      <c r="J302" s="268">
        <v>10000</v>
      </c>
      <c r="K302" s="269"/>
      <c r="L302" s="269"/>
      <c r="M302" s="282"/>
      <c r="N302" s="109"/>
      <c r="O302" s="108"/>
      <c r="P302" s="108"/>
    </row>
    <row r="303" spans="1:16" s="18" customFormat="1">
      <c r="A303" s="100"/>
      <c r="B303" s="72" t="s">
        <v>31</v>
      </c>
      <c r="C303" s="239"/>
      <c r="D303" s="92"/>
      <c r="E303" s="55"/>
      <c r="F303" s="106"/>
      <c r="G303" s="94"/>
      <c r="H303" s="66">
        <f t="shared" si="45"/>
        <v>0</v>
      </c>
      <c r="I303" s="94"/>
      <c r="J303" s="279"/>
      <c r="K303" s="272"/>
      <c r="L303" s="270"/>
      <c r="M303" s="271"/>
      <c r="N303" s="109"/>
      <c r="O303" s="108"/>
      <c r="P303" s="108"/>
    </row>
    <row r="304" spans="1:16" s="18" customFormat="1">
      <c r="A304" s="100"/>
      <c r="B304" s="72" t="s">
        <v>32</v>
      </c>
      <c r="C304" s="239"/>
      <c r="D304" s="92"/>
      <c r="E304" s="55"/>
      <c r="F304" s="106"/>
      <c r="G304" s="94"/>
      <c r="H304" s="66">
        <f t="shared" si="45"/>
        <v>0</v>
      </c>
      <c r="I304" s="94"/>
      <c r="J304" s="279"/>
      <c r="K304" s="272"/>
      <c r="L304" s="270"/>
      <c r="M304" s="271"/>
      <c r="N304" s="109"/>
      <c r="O304" s="108"/>
      <c r="P304" s="108"/>
    </row>
    <row r="305" spans="1:16" s="18" customFormat="1">
      <c r="A305" s="100"/>
      <c r="B305" s="72" t="s">
        <v>33</v>
      </c>
      <c r="C305" s="239"/>
      <c r="D305" s="92"/>
      <c r="E305" s="55"/>
      <c r="F305" s="106"/>
      <c r="G305" s="94"/>
      <c r="H305" s="66">
        <f t="shared" si="45"/>
        <v>0</v>
      </c>
      <c r="I305" s="94"/>
      <c r="J305" s="279"/>
      <c r="K305" s="272"/>
      <c r="L305" s="270"/>
      <c r="M305" s="271"/>
      <c r="N305" s="109"/>
      <c r="O305" s="108"/>
      <c r="P305" s="108"/>
    </row>
    <row r="306" spans="1:16" s="18" customFormat="1" ht="76.5">
      <c r="A306" s="100">
        <v>16</v>
      </c>
      <c r="B306" s="128" t="s">
        <v>383</v>
      </c>
      <c r="C306" s="241" t="s">
        <v>234</v>
      </c>
      <c r="D306" s="80" t="s">
        <v>308</v>
      </c>
      <c r="E306" s="70">
        <f>F306</f>
        <v>6727.4511498945039</v>
      </c>
      <c r="F306" s="70">
        <f>F307</f>
        <v>6727.4511498945039</v>
      </c>
      <c r="G306" s="94"/>
      <c r="H306" s="95"/>
      <c r="I306" s="95"/>
      <c r="J306" s="268"/>
      <c r="K306" s="272"/>
      <c r="L306" s="270"/>
      <c r="M306" s="275"/>
      <c r="N306" s="109"/>
      <c r="O306" s="108"/>
      <c r="P306" s="108"/>
    </row>
    <row r="307" spans="1:16" s="18" customFormat="1">
      <c r="A307" s="100"/>
      <c r="B307" s="72" t="s">
        <v>86</v>
      </c>
      <c r="C307" s="239"/>
      <c r="D307" s="92"/>
      <c r="E307" s="55"/>
      <c r="F307" s="66">
        <f>G307/C4</f>
        <v>6727.4511498945039</v>
      </c>
      <c r="G307" s="66">
        <f>F308*C4+H307</f>
        <v>37404.628393413441</v>
      </c>
      <c r="H307" s="66">
        <f t="shared" ref="H307:H312" si="46">I307+J307</f>
        <v>600</v>
      </c>
      <c r="I307" s="95"/>
      <c r="J307" s="268">
        <v>600</v>
      </c>
      <c r="K307" s="272"/>
      <c r="L307" s="270"/>
      <c r="M307" s="271"/>
      <c r="N307" s="109"/>
      <c r="O307" s="108"/>
      <c r="P307" s="108"/>
    </row>
    <row r="308" spans="1:16" s="18" customFormat="1">
      <c r="A308" s="100"/>
      <c r="B308" s="72" t="s">
        <v>85</v>
      </c>
      <c r="C308" s="239"/>
      <c r="D308" s="92"/>
      <c r="E308" s="55"/>
      <c r="F308" s="66">
        <f>G308/D4</f>
        <v>6619.5374808297556</v>
      </c>
      <c r="G308" s="66">
        <f>F309*D4+H308</f>
        <v>38644.859813084113</v>
      </c>
      <c r="H308" s="66">
        <f t="shared" si="46"/>
        <v>15000</v>
      </c>
      <c r="I308" s="95"/>
      <c r="J308" s="268">
        <v>15000</v>
      </c>
      <c r="K308" s="272"/>
      <c r="L308" s="270"/>
      <c r="M308" s="271"/>
      <c r="N308" s="109"/>
      <c r="O308" s="108"/>
      <c r="P308" s="108"/>
    </row>
    <row r="309" spans="1:16" s="18" customFormat="1">
      <c r="A309" s="100"/>
      <c r="B309" s="72" t="s">
        <v>87</v>
      </c>
      <c r="C309" s="239"/>
      <c r="D309" s="92"/>
      <c r="E309" s="55"/>
      <c r="F309" s="66">
        <f>G309/E4</f>
        <v>4050.16440785956</v>
      </c>
      <c r="G309" s="66">
        <f>H309</f>
        <v>25300</v>
      </c>
      <c r="H309" s="66">
        <f t="shared" si="46"/>
        <v>25300</v>
      </c>
      <c r="I309" s="95"/>
      <c r="J309" s="268">
        <v>25300</v>
      </c>
      <c r="K309" s="270"/>
      <c r="L309" s="270"/>
      <c r="M309" s="271"/>
      <c r="N309" s="109"/>
      <c r="O309" s="108"/>
      <c r="P309" s="108"/>
    </row>
    <row r="310" spans="1:16" s="18" customFormat="1">
      <c r="A310" s="100"/>
      <c r="B310" s="72" t="s">
        <v>31</v>
      </c>
      <c r="C310" s="239"/>
      <c r="D310" s="92"/>
      <c r="E310" s="55"/>
      <c r="F310" s="106"/>
      <c r="G310" s="94"/>
      <c r="H310" s="66">
        <f t="shared" si="46"/>
        <v>0</v>
      </c>
      <c r="I310" s="94"/>
      <c r="J310" s="279"/>
      <c r="K310" s="272"/>
      <c r="L310" s="270"/>
      <c r="M310" s="271"/>
      <c r="N310" s="109"/>
      <c r="O310" s="108"/>
      <c r="P310" s="108"/>
    </row>
    <row r="311" spans="1:16" s="18" customFormat="1">
      <c r="A311" s="100"/>
      <c r="B311" s="72" t="s">
        <v>32</v>
      </c>
      <c r="C311" s="239"/>
      <c r="D311" s="92"/>
      <c r="E311" s="55"/>
      <c r="F311" s="106"/>
      <c r="G311" s="94"/>
      <c r="H311" s="66">
        <f t="shared" si="46"/>
        <v>0</v>
      </c>
      <c r="I311" s="94"/>
      <c r="J311" s="279"/>
      <c r="K311" s="272"/>
      <c r="L311" s="270"/>
      <c r="M311" s="271"/>
      <c r="N311" s="109"/>
      <c r="O311" s="108"/>
      <c r="P311" s="108"/>
    </row>
    <row r="312" spans="1:16" s="18" customFormat="1">
      <c r="A312" s="100"/>
      <c r="B312" s="72" t="s">
        <v>33</v>
      </c>
      <c r="C312" s="239"/>
      <c r="D312" s="92"/>
      <c r="E312" s="55"/>
      <c r="F312" s="106"/>
      <c r="G312" s="94"/>
      <c r="H312" s="66">
        <f t="shared" si="46"/>
        <v>0</v>
      </c>
      <c r="I312" s="94"/>
      <c r="J312" s="279"/>
      <c r="K312" s="272"/>
      <c r="L312" s="270"/>
      <c r="M312" s="271"/>
      <c r="N312" s="109"/>
      <c r="O312" s="108"/>
      <c r="P312" s="108"/>
    </row>
    <row r="313" spans="1:16" s="18" customFormat="1" ht="38.25">
      <c r="A313" s="100">
        <v>17</v>
      </c>
      <c r="B313" s="124" t="s">
        <v>143</v>
      </c>
      <c r="C313" s="241" t="s">
        <v>302</v>
      </c>
      <c r="D313" s="80" t="s">
        <v>44</v>
      </c>
      <c r="E313" s="70">
        <v>26505.200000000001</v>
      </c>
      <c r="F313" s="70">
        <f>F314</f>
        <v>21923.878607619292</v>
      </c>
      <c r="G313" s="129"/>
      <c r="H313" s="95"/>
      <c r="I313" s="95"/>
      <c r="J313" s="268"/>
      <c r="K313" s="272"/>
      <c r="L313" s="270"/>
      <c r="M313" s="275"/>
      <c r="N313" s="109"/>
      <c r="O313" s="108"/>
      <c r="P313" s="108"/>
    </row>
    <row r="314" spans="1:16" s="18" customFormat="1">
      <c r="A314" s="100"/>
      <c r="B314" s="72" t="s">
        <v>86</v>
      </c>
      <c r="C314" s="239"/>
      <c r="D314" s="92"/>
      <c r="E314" s="55" t="s">
        <v>285</v>
      </c>
      <c r="F314" s="66">
        <f>G314/C4</f>
        <v>21923.878607619292</v>
      </c>
      <c r="G314" s="66">
        <f>F315*C4+H314</f>
        <v>121896.76505836325</v>
      </c>
      <c r="H314" s="66">
        <f t="shared" ref="H314:H319" si="47">I314+J314</f>
        <v>700</v>
      </c>
      <c r="I314" s="95"/>
      <c r="J314" s="268">
        <v>700</v>
      </c>
      <c r="K314" s="272"/>
      <c r="L314" s="270"/>
      <c r="M314" s="271"/>
      <c r="N314" s="109"/>
      <c r="O314" s="108"/>
      <c r="P314" s="108"/>
    </row>
    <row r="315" spans="1:16" s="18" customFormat="1">
      <c r="A315" s="100"/>
      <c r="B315" s="72" t="s">
        <v>85</v>
      </c>
      <c r="C315" s="239"/>
      <c r="D315" s="92"/>
      <c r="E315" s="55"/>
      <c r="F315" s="66">
        <f>G315/D4</f>
        <v>21797.979327043751</v>
      </c>
      <c r="G315" s="66">
        <f>F316*D4+H315</f>
        <v>127256.60331128142</v>
      </c>
      <c r="H315" s="66">
        <f t="shared" si="47"/>
        <v>3100</v>
      </c>
      <c r="I315" s="95"/>
      <c r="J315" s="268">
        <v>3100</v>
      </c>
      <c r="K315" s="272"/>
      <c r="L315" s="270"/>
      <c r="M315" s="271"/>
      <c r="N315" s="109"/>
      <c r="O315" s="108"/>
      <c r="P315" s="108"/>
    </row>
    <row r="316" spans="1:16" s="18" customFormat="1">
      <c r="A316" s="100"/>
      <c r="B316" s="72" t="s">
        <v>87</v>
      </c>
      <c r="C316" s="239"/>
      <c r="D316" s="92"/>
      <c r="E316" s="55"/>
      <c r="F316" s="66">
        <f>G316/E4</f>
        <v>21266.975558629911</v>
      </c>
      <c r="G316" s="66">
        <f>F317*E4+H316</f>
        <v>132847.56554307113</v>
      </c>
      <c r="H316" s="66">
        <f t="shared" si="47"/>
        <v>3300</v>
      </c>
      <c r="I316" s="95"/>
      <c r="J316" s="268">
        <v>3300</v>
      </c>
      <c r="K316" s="270"/>
      <c r="L316" s="270"/>
      <c r="M316" s="271"/>
      <c r="N316" s="109"/>
      <c r="O316" s="108"/>
      <c r="P316" s="108"/>
    </row>
    <row r="317" spans="1:16" s="18" customFormat="1">
      <c r="A317" s="100"/>
      <c r="B317" s="72" t="s">
        <v>31</v>
      </c>
      <c r="C317" s="239"/>
      <c r="D317" s="92"/>
      <c r="E317" s="55"/>
      <c r="F317" s="66">
        <f>G317/F4</f>
        <v>20738.693244561273</v>
      </c>
      <c r="G317" s="66">
        <f>H317</f>
        <v>138356.79999999999</v>
      </c>
      <c r="H317" s="66">
        <f t="shared" si="47"/>
        <v>138356.79999999999</v>
      </c>
      <c r="I317" s="95"/>
      <c r="J317" s="268">
        <v>138356.79999999999</v>
      </c>
      <c r="K317" s="272"/>
      <c r="L317" s="270"/>
      <c r="M317" s="271"/>
      <c r="N317" s="109"/>
      <c r="O317" s="108"/>
      <c r="P317" s="108"/>
    </row>
    <row r="318" spans="1:16" s="18" customFormat="1">
      <c r="A318" s="100"/>
      <c r="B318" s="72" t="s">
        <v>32</v>
      </c>
      <c r="C318" s="239"/>
      <c r="D318" s="92"/>
      <c r="E318" s="55"/>
      <c r="F318" s="55"/>
      <c r="G318" s="122"/>
      <c r="H318" s="66">
        <f t="shared" si="47"/>
        <v>0</v>
      </c>
      <c r="I318" s="95"/>
      <c r="J318" s="268"/>
      <c r="K318" s="272"/>
      <c r="L318" s="270"/>
      <c r="M318" s="271"/>
      <c r="N318" s="109"/>
      <c r="O318" s="108"/>
      <c r="P318" s="108"/>
    </row>
    <row r="319" spans="1:16" s="18" customFormat="1">
      <c r="A319" s="100"/>
      <c r="B319" s="72" t="s">
        <v>33</v>
      </c>
      <c r="C319" s="239"/>
      <c r="D319" s="92"/>
      <c r="E319" s="55"/>
      <c r="F319" s="55"/>
      <c r="G319" s="122"/>
      <c r="H319" s="66">
        <f t="shared" si="47"/>
        <v>0</v>
      </c>
      <c r="I319" s="95"/>
      <c r="J319" s="268"/>
      <c r="K319" s="272"/>
      <c r="L319" s="270"/>
      <c r="M319" s="271"/>
      <c r="N319" s="109"/>
      <c r="O319" s="108"/>
      <c r="P319" s="108"/>
    </row>
    <row r="320" spans="1:16" s="18" customFormat="1" ht="38.25">
      <c r="A320" s="100">
        <v>18</v>
      </c>
      <c r="B320" s="130" t="s">
        <v>144</v>
      </c>
      <c r="C320" s="241" t="s">
        <v>303</v>
      </c>
      <c r="D320" s="80" t="s">
        <v>44</v>
      </c>
      <c r="E320" s="70">
        <v>3914.2</v>
      </c>
      <c r="F320" s="70">
        <f>F321</f>
        <v>3564.2240621627889</v>
      </c>
      <c r="G320" s="129"/>
      <c r="H320" s="95"/>
      <c r="I320" s="95"/>
      <c r="J320" s="268"/>
      <c r="K320" s="272"/>
      <c r="L320" s="270"/>
      <c r="M320" s="275"/>
      <c r="N320" s="109"/>
      <c r="O320" s="108"/>
      <c r="P320" s="108"/>
    </row>
    <row r="321" spans="1:16" s="18" customFormat="1">
      <c r="A321" s="100"/>
      <c r="B321" s="72" t="s">
        <v>86</v>
      </c>
      <c r="C321" s="239"/>
      <c r="D321" s="92"/>
      <c r="E321" s="55" t="s">
        <v>285</v>
      </c>
      <c r="F321" s="66">
        <f>G321/C4</f>
        <v>3564.2240621627889</v>
      </c>
      <c r="G321" s="66">
        <f>F322*C4+H321</f>
        <v>19817.085785625106</v>
      </c>
      <c r="H321" s="66">
        <f t="shared" ref="H321:H326" si="48">I321+J321</f>
        <v>200</v>
      </c>
      <c r="I321" s="95"/>
      <c r="J321" s="268">
        <v>200</v>
      </c>
      <c r="K321" s="272"/>
      <c r="L321" s="270"/>
      <c r="M321" s="271"/>
      <c r="N321" s="109"/>
      <c r="O321" s="108"/>
      <c r="P321" s="108"/>
    </row>
    <row r="322" spans="1:16" s="18" customFormat="1">
      <c r="A322" s="100"/>
      <c r="B322" s="72" t="s">
        <v>85</v>
      </c>
      <c r="C322" s="239"/>
      <c r="D322" s="92"/>
      <c r="E322" s="55"/>
      <c r="F322" s="66">
        <f>G322/D4</f>
        <v>3528.2528391412066</v>
      </c>
      <c r="G322" s="66">
        <f>F323*D4+H322</f>
        <v>20597.940074906364</v>
      </c>
      <c r="H322" s="66">
        <f t="shared" si="48"/>
        <v>2200</v>
      </c>
      <c r="I322" s="95"/>
      <c r="J322" s="268">
        <v>2200</v>
      </c>
      <c r="K322" s="272"/>
      <c r="L322" s="270"/>
      <c r="M322" s="271"/>
      <c r="N322" s="109"/>
      <c r="O322" s="108"/>
      <c r="P322" s="108"/>
    </row>
    <row r="323" spans="1:16" s="18" customFormat="1">
      <c r="A323" s="100"/>
      <c r="B323" s="72" t="s">
        <v>87</v>
      </c>
      <c r="C323" s="239"/>
      <c r="D323" s="92"/>
      <c r="E323" s="55"/>
      <c r="F323" s="66">
        <f>G323/E4</f>
        <v>3151.4114551055777</v>
      </c>
      <c r="G323" s="66">
        <f>F324*E4+H323</f>
        <v>19685.79588014981</v>
      </c>
      <c r="H323" s="66">
        <f t="shared" si="48"/>
        <v>3122.5</v>
      </c>
      <c r="I323" s="95"/>
      <c r="J323" s="268">
        <v>3122.5</v>
      </c>
      <c r="K323" s="270"/>
      <c r="L323" s="270"/>
      <c r="M323" s="271"/>
      <c r="N323" s="109"/>
      <c r="O323" s="108"/>
      <c r="P323" s="108"/>
    </row>
    <row r="324" spans="1:16" s="18" customFormat="1">
      <c r="A324" s="100"/>
      <c r="B324" s="72" t="s">
        <v>31</v>
      </c>
      <c r="C324" s="239"/>
      <c r="D324" s="92"/>
      <c r="E324" s="55"/>
      <c r="F324" s="66">
        <f>G324/F4</f>
        <v>2651.5443261118435</v>
      </c>
      <c r="G324" s="66">
        <f>H324</f>
        <v>17689.599999999999</v>
      </c>
      <c r="H324" s="66">
        <f t="shared" si="48"/>
        <v>17689.599999999999</v>
      </c>
      <c r="I324" s="95"/>
      <c r="J324" s="268">
        <v>17689.599999999999</v>
      </c>
      <c r="K324" s="272"/>
      <c r="L324" s="270"/>
      <c r="M324" s="271"/>
      <c r="N324" s="109"/>
      <c r="O324" s="108"/>
      <c r="P324" s="108"/>
    </row>
    <row r="325" spans="1:16" s="18" customFormat="1">
      <c r="A325" s="100"/>
      <c r="B325" s="72" t="s">
        <v>32</v>
      </c>
      <c r="C325" s="239"/>
      <c r="D325" s="92"/>
      <c r="E325" s="55"/>
      <c r="F325" s="55"/>
      <c r="G325" s="122"/>
      <c r="H325" s="66">
        <f t="shared" si="48"/>
        <v>0</v>
      </c>
      <c r="I325" s="95"/>
      <c r="J325" s="268"/>
      <c r="K325" s="272"/>
      <c r="L325" s="270"/>
      <c r="M325" s="271"/>
      <c r="N325" s="109"/>
      <c r="O325" s="108"/>
      <c r="P325" s="108"/>
    </row>
    <row r="326" spans="1:16" s="18" customFormat="1">
      <c r="A326" s="100"/>
      <c r="B326" s="72" t="s">
        <v>33</v>
      </c>
      <c r="C326" s="239"/>
      <c r="D326" s="92"/>
      <c r="E326" s="55"/>
      <c r="F326" s="55"/>
      <c r="G326" s="122"/>
      <c r="H326" s="66">
        <f t="shared" si="48"/>
        <v>0</v>
      </c>
      <c r="I326" s="95"/>
      <c r="J326" s="268"/>
      <c r="K326" s="272"/>
      <c r="L326" s="270"/>
      <c r="M326" s="271"/>
      <c r="N326" s="109"/>
      <c r="O326" s="108"/>
      <c r="P326" s="108"/>
    </row>
    <row r="327" spans="1:16" s="9" customFormat="1" ht="38.25">
      <c r="A327" s="100">
        <v>19</v>
      </c>
      <c r="B327" s="124" t="s">
        <v>124</v>
      </c>
      <c r="C327" s="241" t="s">
        <v>235</v>
      </c>
      <c r="D327" s="80" t="s">
        <v>129</v>
      </c>
      <c r="E327" s="70">
        <f>F327</f>
        <v>17056.131024258386</v>
      </c>
      <c r="F327" s="70">
        <f>F329</f>
        <v>17056.131024258386</v>
      </c>
      <c r="G327" s="122"/>
      <c r="H327" s="95"/>
      <c r="I327" s="95"/>
      <c r="J327" s="268"/>
      <c r="M327" s="275"/>
      <c r="N327" s="63"/>
      <c r="O327" s="56"/>
      <c r="P327" s="56"/>
    </row>
    <row r="328" spans="1:16" s="9" customFormat="1">
      <c r="A328" s="100"/>
      <c r="B328" s="72" t="s">
        <v>86</v>
      </c>
      <c r="C328" s="239"/>
      <c r="D328" s="92"/>
      <c r="E328" s="55" t="s">
        <v>285</v>
      </c>
      <c r="F328" s="55"/>
      <c r="G328" s="122"/>
      <c r="H328" s="66">
        <f t="shared" ref="H328:H333" si="49">I328+J328</f>
        <v>0</v>
      </c>
      <c r="I328" s="95"/>
      <c r="J328" s="268"/>
      <c r="M328" s="259"/>
      <c r="N328" s="63"/>
      <c r="O328" s="56"/>
      <c r="P328" s="56"/>
    </row>
    <row r="329" spans="1:16" s="9" customFormat="1">
      <c r="A329" s="100"/>
      <c r="B329" s="72" t="s">
        <v>85</v>
      </c>
      <c r="C329" s="239"/>
      <c r="D329" s="92"/>
      <c r="E329" s="55"/>
      <c r="F329" s="70">
        <f>G329/D4</f>
        <v>17056.131024258386</v>
      </c>
      <c r="G329" s="70">
        <f>F330*D4+H329</f>
        <v>99573.692919620458</v>
      </c>
      <c r="H329" s="66">
        <f t="shared" si="49"/>
        <v>2000</v>
      </c>
      <c r="I329" s="95"/>
      <c r="J329" s="268">
        <v>2000</v>
      </c>
      <c r="M329" s="259"/>
      <c r="N329" s="63"/>
      <c r="O329" s="56"/>
      <c r="P329" s="56"/>
    </row>
    <row r="330" spans="1:16" s="9" customFormat="1">
      <c r="A330" s="100"/>
      <c r="B330" s="72" t="s">
        <v>87</v>
      </c>
      <c r="C330" s="239"/>
      <c r="D330" s="92"/>
      <c r="E330" s="55"/>
      <c r="F330" s="70">
        <f>G330/E4</f>
        <v>16713.54794786236</v>
      </c>
      <c r="G330" s="70">
        <f>F332*E4+H330</f>
        <v>104403.8514239939</v>
      </c>
      <c r="H330" s="66">
        <f t="shared" si="49"/>
        <v>1500</v>
      </c>
      <c r="I330" s="95"/>
      <c r="J330" s="268">
        <v>1500</v>
      </c>
      <c r="M330" s="259"/>
      <c r="N330" s="63"/>
      <c r="O330" s="56"/>
      <c r="P330" s="56"/>
    </row>
    <row r="331" spans="1:16" s="9" customFormat="1">
      <c r="A331" s="100"/>
      <c r="B331" s="72" t="s">
        <v>31</v>
      </c>
      <c r="C331" s="239"/>
      <c r="D331" s="92"/>
      <c r="E331" s="55"/>
      <c r="F331" s="70"/>
      <c r="G331" s="70"/>
      <c r="H331" s="66">
        <f t="shared" si="49"/>
        <v>0</v>
      </c>
      <c r="I331" s="95"/>
      <c r="J331" s="268"/>
      <c r="M331" s="259"/>
      <c r="N331" s="63"/>
      <c r="O331" s="56"/>
      <c r="P331" s="56"/>
    </row>
    <row r="332" spans="1:16" s="9" customFormat="1">
      <c r="A332" s="100"/>
      <c r="B332" s="72" t="s">
        <v>32</v>
      </c>
      <c r="C332" s="239"/>
      <c r="D332" s="92"/>
      <c r="E332" s="55"/>
      <c r="F332" s="70">
        <f>G332/G4</f>
        <v>16473.419623285707</v>
      </c>
      <c r="G332" s="70">
        <f>H332</f>
        <v>117154.8</v>
      </c>
      <c r="H332" s="66">
        <f t="shared" si="49"/>
        <v>117154.8</v>
      </c>
      <c r="I332" s="95"/>
      <c r="J332" s="268">
        <v>117154.8</v>
      </c>
      <c r="M332" s="259"/>
      <c r="N332" s="63"/>
      <c r="O332" s="56"/>
      <c r="P332" s="56"/>
    </row>
    <row r="333" spans="1:16" s="9" customFormat="1">
      <c r="A333" s="100"/>
      <c r="B333" s="72" t="s">
        <v>33</v>
      </c>
      <c r="C333" s="239"/>
      <c r="D333" s="92"/>
      <c r="E333" s="55"/>
      <c r="F333" s="55"/>
      <c r="G333" s="122"/>
      <c r="H333" s="66">
        <f t="shared" si="49"/>
        <v>0</v>
      </c>
      <c r="I333" s="95"/>
      <c r="J333" s="268"/>
      <c r="M333" s="259"/>
      <c r="N333" s="63"/>
      <c r="O333" s="56"/>
      <c r="P333" s="56"/>
    </row>
    <row r="334" spans="1:16" s="9" customFormat="1" ht="42" customHeight="1">
      <c r="A334" s="92">
        <v>20</v>
      </c>
      <c r="B334" s="124" t="s">
        <v>202</v>
      </c>
      <c r="C334" s="241" t="s">
        <v>237</v>
      </c>
      <c r="D334" s="80" t="s">
        <v>133</v>
      </c>
      <c r="E334" s="70">
        <f>F334</f>
        <v>4018.0273836465544</v>
      </c>
      <c r="F334" s="70">
        <f>F337</f>
        <v>4018.0273836465544</v>
      </c>
      <c r="G334" s="94"/>
      <c r="H334" s="95"/>
      <c r="I334" s="95"/>
      <c r="J334" s="268"/>
      <c r="M334" s="275"/>
      <c r="N334" s="63"/>
      <c r="O334" s="56"/>
      <c r="P334" s="56"/>
    </row>
    <row r="335" spans="1:16" s="9" customFormat="1">
      <c r="A335" s="92"/>
      <c r="B335" s="72" t="s">
        <v>86</v>
      </c>
      <c r="C335" s="239"/>
      <c r="D335" s="92"/>
      <c r="E335" s="96" t="s">
        <v>285</v>
      </c>
      <c r="F335" s="96"/>
      <c r="G335" s="95"/>
      <c r="H335" s="66">
        <f t="shared" ref="H335:H340" si="50">I335+J335</f>
        <v>0</v>
      </c>
      <c r="I335" s="95"/>
      <c r="J335" s="268"/>
      <c r="M335" s="259"/>
      <c r="N335" s="63"/>
      <c r="O335" s="56"/>
      <c r="P335" s="56"/>
    </row>
    <row r="336" spans="1:16" s="19" customFormat="1">
      <c r="A336" s="92"/>
      <c r="B336" s="72" t="s">
        <v>85</v>
      </c>
      <c r="C336" s="239"/>
      <c r="D336" s="92"/>
      <c r="E336" s="96"/>
      <c r="F336" s="96"/>
      <c r="G336" s="95"/>
      <c r="H336" s="66">
        <f>I336+J336</f>
        <v>0</v>
      </c>
      <c r="I336" s="95"/>
      <c r="J336" s="268"/>
      <c r="K336" s="7"/>
      <c r="L336" s="7"/>
      <c r="M336" s="283"/>
      <c r="N336" s="131"/>
      <c r="O336" s="132"/>
      <c r="P336" s="132"/>
    </row>
    <row r="337" spans="1:16" s="19" customFormat="1">
      <c r="A337" s="92"/>
      <c r="B337" s="72" t="s">
        <v>87</v>
      </c>
      <c r="C337" s="239"/>
      <c r="D337" s="92"/>
      <c r="E337" s="96"/>
      <c r="F337" s="70">
        <f>G337/E4</f>
        <v>4018.0273836465544</v>
      </c>
      <c r="G337" s="70">
        <f>F338*E4+H337</f>
        <v>25099.250936329587</v>
      </c>
      <c r="H337" s="66">
        <f>I337+J337</f>
        <v>4500</v>
      </c>
      <c r="I337" s="95"/>
      <c r="J337" s="268">
        <v>4500</v>
      </c>
      <c r="K337" s="284">
        <f>G407-H407</f>
        <v>0</v>
      </c>
      <c r="L337" s="7"/>
      <c r="M337" s="283"/>
      <c r="N337" s="131"/>
      <c r="O337" s="132"/>
      <c r="P337" s="132"/>
    </row>
    <row r="338" spans="1:16" s="19" customFormat="1">
      <c r="A338" s="92"/>
      <c r="B338" s="72" t="s">
        <v>31</v>
      </c>
      <c r="C338" s="239"/>
      <c r="D338" s="92"/>
      <c r="E338" s="96"/>
      <c r="F338" s="70">
        <f>G338/F4</f>
        <v>3297.6424099165929</v>
      </c>
      <c r="G338" s="70">
        <f>F339*F4+H338</f>
        <v>22000</v>
      </c>
      <c r="H338" s="95">
        <f>I338+J338</f>
        <v>22000</v>
      </c>
      <c r="I338" s="95"/>
      <c r="J338" s="268">
        <v>22000</v>
      </c>
      <c r="K338" s="7"/>
      <c r="L338" s="7"/>
      <c r="M338" s="283"/>
      <c r="N338" s="131"/>
      <c r="O338" s="132"/>
      <c r="P338" s="132"/>
    </row>
    <row r="339" spans="1:16" s="19" customFormat="1">
      <c r="A339" s="92"/>
      <c r="B339" s="72" t="s">
        <v>32</v>
      </c>
      <c r="C339" s="239"/>
      <c r="D339" s="92"/>
      <c r="E339" s="96"/>
      <c r="F339" s="70">
        <f>G339/G4</f>
        <v>0</v>
      </c>
      <c r="G339" s="70">
        <f>F340*G4+H339</f>
        <v>0</v>
      </c>
      <c r="H339" s="95">
        <f t="shared" si="50"/>
        <v>0</v>
      </c>
      <c r="I339" s="95"/>
      <c r="J339" s="268"/>
      <c r="K339" s="7"/>
      <c r="L339" s="7"/>
      <c r="M339" s="268">
        <v>21000</v>
      </c>
      <c r="N339" s="131"/>
      <c r="O339" s="132"/>
      <c r="P339" s="132"/>
    </row>
    <row r="340" spans="1:16" s="19" customFormat="1">
      <c r="A340" s="92"/>
      <c r="B340" s="72" t="s">
        <v>33</v>
      </c>
      <c r="C340" s="239"/>
      <c r="D340" s="92"/>
      <c r="E340" s="96"/>
      <c r="F340" s="70">
        <f>G340/H4</f>
        <v>0</v>
      </c>
      <c r="G340" s="70">
        <f>H340</f>
        <v>0</v>
      </c>
      <c r="H340" s="95">
        <f t="shared" si="50"/>
        <v>0</v>
      </c>
      <c r="I340" s="95"/>
      <c r="J340" s="268"/>
      <c r="K340" s="7"/>
      <c r="L340" s="7"/>
      <c r="M340" s="268">
        <v>3791.1</v>
      </c>
      <c r="N340" s="131"/>
      <c r="O340" s="132"/>
      <c r="P340" s="132"/>
    </row>
    <row r="341" spans="1:16" s="9" customFormat="1" ht="42" customHeight="1">
      <c r="A341" s="92">
        <v>21</v>
      </c>
      <c r="B341" s="124" t="s">
        <v>316</v>
      </c>
      <c r="C341" s="241" t="s">
        <v>317</v>
      </c>
      <c r="D341" s="80" t="s">
        <v>318</v>
      </c>
      <c r="E341" s="70">
        <v>214114.4</v>
      </c>
      <c r="F341" s="70"/>
      <c r="G341" s="94"/>
      <c r="H341" s="95"/>
      <c r="I341" s="95"/>
      <c r="J341" s="268"/>
      <c r="M341" s="275"/>
      <c r="N341" s="63"/>
      <c r="O341" s="56"/>
      <c r="P341" s="56"/>
    </row>
    <row r="342" spans="1:16" s="9" customFormat="1">
      <c r="A342" s="92"/>
      <c r="B342" s="72" t="s">
        <v>86</v>
      </c>
      <c r="C342" s="239"/>
      <c r="D342" s="92"/>
      <c r="E342" s="96" t="s">
        <v>285</v>
      </c>
      <c r="F342" s="96"/>
      <c r="G342" s="95"/>
      <c r="H342" s="66"/>
      <c r="I342" s="95"/>
      <c r="J342" s="268"/>
      <c r="M342" s="259"/>
      <c r="N342" s="63"/>
      <c r="O342" s="56"/>
      <c r="P342" s="56"/>
    </row>
    <row r="343" spans="1:16" s="19" customFormat="1">
      <c r="A343" s="92"/>
      <c r="B343" s="72" t="s">
        <v>85</v>
      </c>
      <c r="C343" s="239"/>
      <c r="D343" s="92"/>
      <c r="E343" s="96"/>
      <c r="F343" s="96"/>
      <c r="G343" s="95"/>
      <c r="H343" s="66"/>
      <c r="I343" s="95"/>
      <c r="J343" s="268"/>
      <c r="K343" s="7"/>
      <c r="L343" s="7"/>
      <c r="M343" s="283"/>
      <c r="N343" s="131"/>
      <c r="O343" s="132"/>
      <c r="P343" s="132"/>
    </row>
    <row r="344" spans="1:16" s="19" customFormat="1">
      <c r="A344" s="92"/>
      <c r="B344" s="72" t="s">
        <v>87</v>
      </c>
      <c r="C344" s="239"/>
      <c r="D344" s="92"/>
      <c r="E344" s="96"/>
      <c r="F344" s="70"/>
      <c r="G344" s="70"/>
      <c r="H344" s="66"/>
      <c r="I344" s="95"/>
      <c r="J344" s="268"/>
      <c r="K344" s="284">
        <f>G414-H414</f>
        <v>0</v>
      </c>
      <c r="L344" s="7"/>
      <c r="M344" s="283"/>
      <c r="N344" s="131"/>
      <c r="O344" s="132"/>
      <c r="P344" s="132"/>
    </row>
    <row r="345" spans="1:16" s="19" customFormat="1">
      <c r="A345" s="92"/>
      <c r="B345" s="72" t="s">
        <v>31</v>
      </c>
      <c r="C345" s="239"/>
      <c r="D345" s="92"/>
      <c r="E345" s="96"/>
      <c r="F345" s="70"/>
      <c r="G345" s="70"/>
      <c r="H345" s="95"/>
      <c r="I345" s="95"/>
      <c r="J345" s="268"/>
      <c r="K345" s="7"/>
      <c r="L345" s="7"/>
      <c r="M345" s="283"/>
      <c r="N345" s="131"/>
      <c r="O345" s="132"/>
      <c r="P345" s="132"/>
    </row>
    <row r="346" spans="1:16" s="19" customFormat="1">
      <c r="A346" s="92"/>
      <c r="B346" s="72" t="s">
        <v>32</v>
      </c>
      <c r="C346" s="239"/>
      <c r="D346" s="92"/>
      <c r="E346" s="96"/>
      <c r="F346" s="70">
        <v>214114.4</v>
      </c>
      <c r="G346" s="70">
        <v>1522727.7</v>
      </c>
      <c r="H346" s="95">
        <f t="shared" ref="H346:H347" si="51">I346+J346</f>
        <v>0</v>
      </c>
      <c r="I346" s="95"/>
      <c r="J346" s="268"/>
      <c r="K346" s="7"/>
      <c r="L346" s="7"/>
      <c r="M346" s="285">
        <v>20000</v>
      </c>
      <c r="N346" s="131"/>
      <c r="O346" s="132"/>
      <c r="P346" s="132"/>
    </row>
    <row r="347" spans="1:16" s="19" customFormat="1">
      <c r="A347" s="92"/>
      <c r="B347" s="72" t="s">
        <v>33</v>
      </c>
      <c r="C347" s="239"/>
      <c r="D347" s="92"/>
      <c r="E347" s="96"/>
      <c r="F347" s="70">
        <v>210053</v>
      </c>
      <c r="G347" s="70">
        <v>1589449.7</v>
      </c>
      <c r="H347" s="95">
        <f t="shared" si="51"/>
        <v>0</v>
      </c>
      <c r="I347" s="95"/>
      <c r="J347" s="268"/>
      <c r="K347" s="7"/>
      <c r="L347" s="7"/>
      <c r="M347" s="285">
        <v>45000</v>
      </c>
      <c r="N347" s="131"/>
      <c r="O347" s="132"/>
      <c r="P347" s="132"/>
    </row>
    <row r="348" spans="1:16" s="9" customFormat="1" ht="54.75" customHeight="1">
      <c r="A348" s="92">
        <v>22</v>
      </c>
      <c r="B348" s="124" t="s">
        <v>354</v>
      </c>
      <c r="C348" s="241" t="s">
        <v>355</v>
      </c>
      <c r="D348" s="80" t="s">
        <v>133</v>
      </c>
      <c r="E348" s="70">
        <v>93233.7</v>
      </c>
      <c r="F348" s="70">
        <v>93233.7</v>
      </c>
      <c r="G348" s="94"/>
      <c r="H348" s="95"/>
      <c r="I348" s="95"/>
      <c r="J348" s="268"/>
      <c r="M348" s="275"/>
      <c r="N348" s="63"/>
      <c r="O348" s="56"/>
      <c r="P348" s="56"/>
    </row>
    <row r="349" spans="1:16" s="9" customFormat="1">
      <c r="A349" s="92"/>
      <c r="B349" s="72" t="s">
        <v>86</v>
      </c>
      <c r="C349" s="239"/>
      <c r="D349" s="92"/>
      <c r="E349" s="96" t="s">
        <v>285</v>
      </c>
      <c r="F349" s="96"/>
      <c r="G349" s="95"/>
      <c r="H349" s="66"/>
      <c r="I349" s="95"/>
      <c r="J349" s="268"/>
      <c r="M349" s="259"/>
      <c r="N349" s="63"/>
      <c r="O349" s="56"/>
      <c r="P349" s="56"/>
    </row>
    <row r="350" spans="1:16" s="19" customFormat="1">
      <c r="A350" s="92"/>
      <c r="B350" s="72" t="s">
        <v>85</v>
      </c>
      <c r="C350" s="239"/>
      <c r="D350" s="92"/>
      <c r="E350" s="96"/>
      <c r="F350" s="96"/>
      <c r="G350" s="95"/>
      <c r="H350" s="66"/>
      <c r="I350" s="95"/>
      <c r="J350" s="268"/>
      <c r="K350" s="7"/>
      <c r="L350" s="7"/>
      <c r="M350" s="268"/>
      <c r="N350" s="131">
        <v>-4000</v>
      </c>
      <c r="O350" s="132"/>
      <c r="P350" s="132"/>
    </row>
    <row r="351" spans="1:16" s="19" customFormat="1">
      <c r="A351" s="92"/>
      <c r="B351" s="72" t="s">
        <v>87</v>
      </c>
      <c r="C351" s="239"/>
      <c r="D351" s="92"/>
      <c r="E351" s="96"/>
      <c r="F351" s="70">
        <v>93233.7</v>
      </c>
      <c r="G351" s="70">
        <v>582399.30000000005</v>
      </c>
      <c r="H351" s="95">
        <f t="shared" ref="H351:H354" si="52">I351+J351</f>
        <v>0</v>
      </c>
      <c r="I351" s="95"/>
      <c r="J351" s="268"/>
      <c r="K351" s="284">
        <f>G414-H414</f>
        <v>0</v>
      </c>
      <c r="L351" s="7"/>
      <c r="M351" s="268">
        <v>10000</v>
      </c>
      <c r="N351" s="131">
        <v>-14000</v>
      </c>
      <c r="O351" s="132"/>
      <c r="P351" s="132"/>
    </row>
    <row r="352" spans="1:16" s="19" customFormat="1">
      <c r="A352" s="92"/>
      <c r="B352" s="72" t="s">
        <v>31</v>
      </c>
      <c r="C352" s="239"/>
      <c r="D352" s="92"/>
      <c r="E352" s="96"/>
      <c r="F352" s="70">
        <v>91632.9</v>
      </c>
      <c r="G352" s="70">
        <v>611322.4</v>
      </c>
      <c r="H352" s="95">
        <f t="shared" si="52"/>
        <v>0</v>
      </c>
      <c r="I352" s="95"/>
      <c r="J352" s="268"/>
      <c r="K352" s="7"/>
      <c r="L352" s="7"/>
      <c r="M352" s="268">
        <v>18600</v>
      </c>
      <c r="N352" s="131"/>
      <c r="O352" s="132"/>
      <c r="P352" s="132"/>
    </row>
    <row r="353" spans="1:16" s="19" customFormat="1">
      <c r="A353" s="92"/>
      <c r="B353" s="72" t="s">
        <v>32</v>
      </c>
      <c r="C353" s="239"/>
      <c r="D353" s="92"/>
      <c r="E353" s="96"/>
      <c r="F353" s="70">
        <v>88844.800000000003</v>
      </c>
      <c r="G353" s="70">
        <v>631842.1</v>
      </c>
      <c r="H353" s="95">
        <f t="shared" si="52"/>
        <v>0</v>
      </c>
      <c r="I353" s="95"/>
      <c r="J353" s="268"/>
      <c r="K353" s="7"/>
      <c r="L353" s="7"/>
      <c r="M353" s="268">
        <v>170000</v>
      </c>
      <c r="N353" s="131">
        <v>4000</v>
      </c>
      <c r="O353" s="132"/>
      <c r="P353" s="132"/>
    </row>
    <row r="354" spans="1:16" s="19" customFormat="1">
      <c r="A354" s="92"/>
      <c r="B354" s="72" t="s">
        <v>33</v>
      </c>
      <c r="C354" s="239"/>
      <c r="D354" s="92"/>
      <c r="E354" s="96"/>
      <c r="F354" s="70">
        <v>64940.7</v>
      </c>
      <c r="G354" s="70">
        <v>491400</v>
      </c>
      <c r="H354" s="95">
        <f t="shared" si="52"/>
        <v>0</v>
      </c>
      <c r="I354" s="95"/>
      <c r="J354" s="268"/>
      <c r="K354" s="7"/>
      <c r="L354" s="7"/>
      <c r="M354" s="268">
        <v>491400</v>
      </c>
      <c r="N354" s="131">
        <v>14000</v>
      </c>
      <c r="O354" s="132"/>
      <c r="P354" s="132"/>
    </row>
    <row r="355" spans="1:16" s="9" customFormat="1" ht="54.75" customHeight="1">
      <c r="A355" s="92">
        <v>23</v>
      </c>
      <c r="B355" s="124" t="s">
        <v>319</v>
      </c>
      <c r="C355" s="241" t="s">
        <v>320</v>
      </c>
      <c r="D355" s="80" t="s">
        <v>321</v>
      </c>
      <c r="E355" s="70">
        <v>93432</v>
      </c>
      <c r="F355" s="70"/>
      <c r="G355" s="94"/>
      <c r="H355" s="95"/>
      <c r="I355" s="95"/>
      <c r="J355" s="268"/>
      <c r="M355" s="275"/>
      <c r="N355" s="63"/>
      <c r="O355" s="56"/>
      <c r="P355" s="56"/>
    </row>
    <row r="356" spans="1:16" s="9" customFormat="1">
      <c r="A356" s="92"/>
      <c r="B356" s="72" t="s">
        <v>86</v>
      </c>
      <c r="C356" s="239"/>
      <c r="D356" s="92"/>
      <c r="E356" s="96" t="s">
        <v>285</v>
      </c>
      <c r="F356" s="96"/>
      <c r="G356" s="95"/>
      <c r="H356" s="66"/>
      <c r="I356" s="95"/>
      <c r="J356" s="268"/>
      <c r="M356" s="259"/>
      <c r="N356" s="63"/>
      <c r="O356" s="56"/>
      <c r="P356" s="56"/>
    </row>
    <row r="357" spans="1:16" s="19" customFormat="1">
      <c r="A357" s="92"/>
      <c r="B357" s="72" t="s">
        <v>85</v>
      </c>
      <c r="C357" s="239"/>
      <c r="D357" s="92"/>
      <c r="E357" s="96"/>
      <c r="F357" s="96"/>
      <c r="G357" s="95"/>
      <c r="H357" s="66"/>
      <c r="I357" s="95"/>
      <c r="J357" s="268"/>
      <c r="K357" s="7"/>
      <c r="L357" s="7"/>
      <c r="M357" s="268">
        <v>4000</v>
      </c>
      <c r="N357" s="131">
        <v>-4000</v>
      </c>
      <c r="O357" s="132"/>
      <c r="P357" s="132"/>
    </row>
    <row r="358" spans="1:16" s="19" customFormat="1">
      <c r="A358" s="92"/>
      <c r="B358" s="72" t="s">
        <v>87</v>
      </c>
      <c r="C358" s="239"/>
      <c r="D358" s="92"/>
      <c r="E358" s="96"/>
      <c r="F358" s="70"/>
      <c r="G358" s="70"/>
      <c r="H358" s="66"/>
      <c r="I358" s="95"/>
      <c r="J358" s="268"/>
      <c r="K358" s="284">
        <f>G421-H421</f>
        <v>0</v>
      </c>
      <c r="L358" s="7"/>
      <c r="M358" s="268">
        <v>14000</v>
      </c>
      <c r="N358" s="131">
        <v>-14000</v>
      </c>
      <c r="O358" s="132"/>
      <c r="P358" s="132"/>
    </row>
    <row r="359" spans="1:16" s="19" customFormat="1">
      <c r="A359" s="92"/>
      <c r="B359" s="72" t="s">
        <v>31</v>
      </c>
      <c r="C359" s="239"/>
      <c r="D359" s="92"/>
      <c r="E359" s="96"/>
      <c r="F359" s="70"/>
      <c r="G359" s="70"/>
      <c r="H359" s="95"/>
      <c r="I359" s="95"/>
      <c r="J359" s="268"/>
      <c r="K359" s="7"/>
      <c r="L359" s="7"/>
      <c r="M359" s="283"/>
      <c r="N359" s="131"/>
      <c r="O359" s="132"/>
      <c r="P359" s="132"/>
    </row>
    <row r="360" spans="1:16" s="19" customFormat="1">
      <c r="A360" s="92"/>
      <c r="B360" s="72" t="s">
        <v>32</v>
      </c>
      <c r="C360" s="239"/>
      <c r="D360" s="92"/>
      <c r="E360" s="96"/>
      <c r="F360" s="70">
        <v>93432</v>
      </c>
      <c r="G360" s="70">
        <f>F360*7.11</f>
        <v>664301.52</v>
      </c>
      <c r="H360" s="95">
        <f t="shared" ref="H360:H361" si="53">I360+J360</f>
        <v>0</v>
      </c>
      <c r="I360" s="95"/>
      <c r="J360" s="268"/>
      <c r="K360" s="7"/>
      <c r="L360" s="7"/>
      <c r="M360" s="268">
        <v>182700</v>
      </c>
      <c r="N360" s="131">
        <v>4000</v>
      </c>
      <c r="O360" s="132"/>
      <c r="P360" s="132"/>
    </row>
    <row r="361" spans="1:16" s="19" customFormat="1">
      <c r="A361" s="92"/>
      <c r="B361" s="72" t="s">
        <v>33</v>
      </c>
      <c r="C361" s="239"/>
      <c r="D361" s="92"/>
      <c r="E361" s="96"/>
      <c r="F361" s="70">
        <v>92869.4</v>
      </c>
      <c r="G361" s="70">
        <f>F361*7.57</f>
        <v>703021.35800000001</v>
      </c>
      <c r="H361" s="95">
        <f t="shared" si="53"/>
        <v>0</v>
      </c>
      <c r="I361" s="95"/>
      <c r="J361" s="268"/>
      <c r="K361" s="7"/>
      <c r="L361" s="7"/>
      <c r="M361" s="268">
        <v>696300</v>
      </c>
      <c r="N361" s="131">
        <v>14000</v>
      </c>
      <c r="O361" s="132"/>
      <c r="P361" s="132"/>
    </row>
    <row r="362" spans="1:16" s="32" customFormat="1" ht="29.25" customHeight="1">
      <c r="A362" s="31"/>
      <c r="B362" s="44" t="s">
        <v>221</v>
      </c>
      <c r="C362" s="343"/>
      <c r="D362" s="46"/>
      <c r="E362" s="47"/>
      <c r="F362" s="47"/>
      <c r="G362" s="47"/>
      <c r="H362" s="48">
        <f>H364+H365+H366+H367+H368</f>
        <v>1120363</v>
      </c>
      <c r="I362" s="48">
        <f t="shared" ref="I362:M362" si="54">I364+I365+I366+I367+I368</f>
        <v>0</v>
      </c>
      <c r="J362" s="48">
        <f t="shared" si="54"/>
        <v>1120363</v>
      </c>
      <c r="K362" s="48">
        <f t="shared" si="54"/>
        <v>1561525.3</v>
      </c>
      <c r="L362" s="48">
        <f t="shared" si="54"/>
        <v>1061962.3</v>
      </c>
      <c r="M362" s="48">
        <f t="shared" si="54"/>
        <v>1902646.5</v>
      </c>
    </row>
    <row r="363" spans="1:16" s="32" customFormat="1">
      <c r="A363" s="31"/>
      <c r="B363" s="44" t="s">
        <v>86</v>
      </c>
      <c r="C363" s="343"/>
      <c r="D363" s="46"/>
      <c r="E363" s="47"/>
      <c r="F363" s="47"/>
      <c r="G363" s="47"/>
      <c r="H363" s="49">
        <f t="shared" ref="H363:H368" si="55">H202+H209+H216+H223+H230+H237+H244+H251+H258+H265+H272+H279+H286+H293+H300+H307+H314+H321+H328+H335+H342+H356+H349</f>
        <v>387929.59999999998</v>
      </c>
      <c r="I363" s="49">
        <f t="shared" ref="I363:I368" si="56">I202+I209+I216+I223+I230+I237+I244+I251+I258+I265+I272+I279+I286+I293+I300+I307+I314+I321+I328+I335+I342+I356+I349</f>
        <v>23200</v>
      </c>
      <c r="J363" s="286">
        <f t="shared" ref="J363:J368" si="57">J202+J209+J216+J223+J230+J237+J244+J251+J258+J265+J272+J279+J286+J293+J300+J307+J314+J321+J328+J335+J342+J356+J349</f>
        <v>364729.59999999998</v>
      </c>
      <c r="K363" s="269">
        <f>'[1]капстр (с краевыми)'!$J$239-J363</f>
        <v>-20060</v>
      </c>
      <c r="L363" s="270"/>
      <c r="M363" s="286">
        <f>M202+M209+M216+M223+M230+M237+M244+M251+M258+M265+M272+M279+M286+M293+M300+M307+M314+M321+M328+M335+M342+M356+M349</f>
        <v>0</v>
      </c>
      <c r="N363" s="33"/>
    </row>
    <row r="364" spans="1:16" s="32" customFormat="1">
      <c r="A364" s="31"/>
      <c r="B364" s="44" t="s">
        <v>85</v>
      </c>
      <c r="C364" s="343"/>
      <c r="D364" s="46"/>
      <c r="E364" s="46"/>
      <c r="F364" s="47"/>
      <c r="G364" s="47"/>
      <c r="H364" s="49">
        <f t="shared" si="55"/>
        <v>131039.8</v>
      </c>
      <c r="I364" s="49">
        <f t="shared" si="56"/>
        <v>0</v>
      </c>
      <c r="J364" s="286">
        <f t="shared" si="57"/>
        <v>131039.8</v>
      </c>
      <c r="K364" s="269">
        <f>J364-'[1]капстр (с краевыми)'!$J$240</f>
        <v>-179360.2</v>
      </c>
      <c r="L364" s="270"/>
      <c r="M364" s="286">
        <f t="shared" ref="M364:M368" si="58">M203+M210+M217+M224+M231+M238+M245+M252+M259+M266+M273+M280+M287+M294+M301+M308+M315+M322+M329+M336+M343+M357+M350</f>
        <v>4000</v>
      </c>
      <c r="N364" s="33">
        <f>J364-131039.8</f>
        <v>0</v>
      </c>
    </row>
    <row r="365" spans="1:16" s="32" customFormat="1">
      <c r="A365" s="31"/>
      <c r="B365" s="44" t="s">
        <v>87</v>
      </c>
      <c r="C365" s="343"/>
      <c r="D365" s="46"/>
      <c r="E365" s="46"/>
      <c r="F365" s="47"/>
      <c r="G365" s="47"/>
      <c r="H365" s="49">
        <f t="shared" si="55"/>
        <v>181285.5</v>
      </c>
      <c r="I365" s="49">
        <f t="shared" si="56"/>
        <v>0</v>
      </c>
      <c r="J365" s="286">
        <f t="shared" si="57"/>
        <v>181285.5</v>
      </c>
      <c r="K365" s="269">
        <f>J365-'[1]капстр (с краевыми)'!$J$241</f>
        <v>-129114.5</v>
      </c>
      <c r="L365" s="270"/>
      <c r="M365" s="286">
        <f t="shared" si="58"/>
        <v>24000</v>
      </c>
      <c r="N365" s="33">
        <f>J365-176785.5</f>
        <v>4500</v>
      </c>
      <c r="O365" s="32" t="s">
        <v>353</v>
      </c>
    </row>
    <row r="366" spans="1:16" s="18" customFormat="1">
      <c r="A366" s="31"/>
      <c r="B366" s="44" t="s">
        <v>31</v>
      </c>
      <c r="C366" s="343"/>
      <c r="D366" s="46"/>
      <c r="E366" s="46"/>
      <c r="F366" s="47"/>
      <c r="G366" s="47"/>
      <c r="H366" s="49">
        <f t="shared" si="55"/>
        <v>256345.9</v>
      </c>
      <c r="I366" s="49">
        <f t="shared" si="56"/>
        <v>0</v>
      </c>
      <c r="J366" s="286">
        <f t="shared" si="57"/>
        <v>256345.9</v>
      </c>
      <c r="K366" s="269">
        <v>560000</v>
      </c>
      <c r="L366" s="270">
        <f>K366-J366</f>
        <v>303654.09999999998</v>
      </c>
      <c r="M366" s="286">
        <f t="shared" si="58"/>
        <v>18600</v>
      </c>
      <c r="N366" s="109">
        <v>22000</v>
      </c>
      <c r="O366" s="108" t="s">
        <v>353</v>
      </c>
      <c r="P366" s="108"/>
    </row>
    <row r="367" spans="1:16" s="18" customFormat="1" ht="15" customHeight="1">
      <c r="A367" s="31"/>
      <c r="B367" s="44" t="s">
        <v>32</v>
      </c>
      <c r="C367" s="343"/>
      <c r="D367" s="46"/>
      <c r="E367" s="46"/>
      <c r="F367" s="47"/>
      <c r="G367" s="47"/>
      <c r="H367" s="49">
        <f t="shared" si="55"/>
        <v>243415.8</v>
      </c>
      <c r="I367" s="49">
        <f t="shared" si="56"/>
        <v>0</v>
      </c>
      <c r="J367" s="286">
        <f t="shared" si="57"/>
        <v>243415.8</v>
      </c>
      <c r="K367" s="272">
        <v>600000</v>
      </c>
      <c r="L367" s="270">
        <f>K367-J367</f>
        <v>356584.2</v>
      </c>
      <c r="M367" s="286">
        <f t="shared" si="58"/>
        <v>488900</v>
      </c>
      <c r="N367" s="107">
        <f>M367-467900</f>
        <v>21000</v>
      </c>
      <c r="O367" s="108" t="s">
        <v>353</v>
      </c>
      <c r="P367" s="108"/>
    </row>
    <row r="368" spans="1:16" s="18" customFormat="1">
      <c r="A368" s="31"/>
      <c r="B368" s="44" t="s">
        <v>33</v>
      </c>
      <c r="C368" s="343"/>
      <c r="D368" s="46"/>
      <c r="E368" s="46"/>
      <c r="F368" s="47"/>
      <c r="G368" s="47"/>
      <c r="H368" s="49">
        <f t="shared" si="55"/>
        <v>308276</v>
      </c>
      <c r="I368" s="49">
        <f t="shared" si="56"/>
        <v>0</v>
      </c>
      <c r="J368" s="286">
        <f t="shared" si="57"/>
        <v>308276</v>
      </c>
      <c r="K368" s="272">
        <v>710000</v>
      </c>
      <c r="L368" s="270">
        <f>K368-J368</f>
        <v>401724</v>
      </c>
      <c r="M368" s="286">
        <f t="shared" si="58"/>
        <v>1367146.5</v>
      </c>
      <c r="N368" s="107">
        <f>M368-1363355.4</f>
        <v>3791.1000000000931</v>
      </c>
      <c r="O368" s="108" t="s">
        <v>353</v>
      </c>
      <c r="P368" s="133"/>
    </row>
    <row r="369" spans="1:16" s="19" customFormat="1">
      <c r="A369" s="67"/>
      <c r="B369" s="67" t="s">
        <v>15</v>
      </c>
      <c r="C369" s="346"/>
      <c r="D369" s="134"/>
      <c r="E369" s="134"/>
      <c r="F369" s="135"/>
      <c r="G369" s="136"/>
      <c r="H369" s="137"/>
      <c r="I369" s="137"/>
      <c r="J369" s="287"/>
      <c r="K369" s="7"/>
      <c r="L369" s="7"/>
      <c r="M369" s="283"/>
      <c r="N369" s="131"/>
      <c r="O369" s="132"/>
      <c r="P369" s="132"/>
    </row>
    <row r="370" spans="1:16" s="19" customFormat="1" ht="53.25" customHeight="1">
      <c r="A370" s="68">
        <v>1</v>
      </c>
      <c r="B370" s="138" t="s">
        <v>23</v>
      </c>
      <c r="C370" s="241" t="s">
        <v>21</v>
      </c>
      <c r="D370" s="80" t="s">
        <v>238</v>
      </c>
      <c r="E370" s="369" t="s">
        <v>305</v>
      </c>
      <c r="F370" s="139"/>
      <c r="G370" s="139"/>
      <c r="H370" s="113"/>
      <c r="I370" s="113"/>
      <c r="J370" s="275"/>
      <c r="K370" s="7"/>
      <c r="L370" s="7"/>
      <c r="M370" s="275"/>
      <c r="N370" s="131"/>
      <c r="O370" s="132"/>
      <c r="P370" s="132"/>
    </row>
    <row r="371" spans="1:16" s="19" customFormat="1">
      <c r="A371" s="68"/>
      <c r="B371" s="72" t="s">
        <v>86</v>
      </c>
      <c r="C371" s="60"/>
      <c r="D371" s="68"/>
      <c r="E371" s="74"/>
      <c r="F371" s="140"/>
      <c r="G371" s="141"/>
      <c r="H371" s="66">
        <f t="shared" ref="H371:H376" si="59">I371+J371</f>
        <v>101167.3</v>
      </c>
      <c r="I371" s="140"/>
      <c r="J371" s="288">
        <v>101167.3</v>
      </c>
      <c r="K371" s="7"/>
      <c r="L371" s="7"/>
      <c r="M371" s="283"/>
      <c r="N371" s="131"/>
      <c r="O371" s="132"/>
      <c r="P371" s="132"/>
    </row>
    <row r="372" spans="1:16" s="19" customFormat="1">
      <c r="A372" s="68"/>
      <c r="B372" s="72" t="s">
        <v>85</v>
      </c>
      <c r="C372" s="60"/>
      <c r="D372" s="68"/>
      <c r="E372" s="74"/>
      <c r="F372" s="140"/>
      <c r="G372" s="141"/>
      <c r="H372" s="66">
        <f t="shared" si="59"/>
        <v>44362.6</v>
      </c>
      <c r="I372" s="140"/>
      <c r="J372" s="288">
        <v>44362.6</v>
      </c>
      <c r="K372" s="7">
        <f>G414-H414</f>
        <v>0</v>
      </c>
      <c r="L372" s="7"/>
      <c r="M372" s="283"/>
      <c r="N372" s="131"/>
      <c r="O372" s="132"/>
      <c r="P372" s="132"/>
    </row>
    <row r="373" spans="1:16" s="19" customFormat="1">
      <c r="A373" s="68"/>
      <c r="B373" s="72" t="s">
        <v>87</v>
      </c>
      <c r="C373" s="60"/>
      <c r="D373" s="68"/>
      <c r="E373" s="74"/>
      <c r="F373" s="140"/>
      <c r="G373" s="141"/>
      <c r="H373" s="66">
        <f t="shared" si="59"/>
        <v>69537.399999999994</v>
      </c>
      <c r="I373" s="140"/>
      <c r="J373" s="288">
        <v>69537.399999999994</v>
      </c>
      <c r="K373" s="7"/>
      <c r="L373" s="7"/>
      <c r="M373" s="283"/>
      <c r="N373" s="131"/>
      <c r="O373" s="132"/>
      <c r="P373" s="132"/>
    </row>
    <row r="374" spans="1:16" s="19" customFormat="1">
      <c r="A374" s="68"/>
      <c r="B374" s="72" t="s">
        <v>31</v>
      </c>
      <c r="C374" s="60"/>
      <c r="D374" s="68"/>
      <c r="E374" s="74"/>
      <c r="F374" s="140"/>
      <c r="G374" s="141"/>
      <c r="H374" s="66">
        <f t="shared" si="59"/>
        <v>70000</v>
      </c>
      <c r="I374" s="140"/>
      <c r="J374" s="288">
        <v>70000</v>
      </c>
      <c r="K374" s="7"/>
      <c r="L374" s="7"/>
      <c r="M374" s="283"/>
      <c r="N374" s="131"/>
      <c r="O374" s="132"/>
      <c r="P374" s="132"/>
    </row>
    <row r="375" spans="1:16" s="19" customFormat="1">
      <c r="A375" s="68"/>
      <c r="B375" s="72" t="s">
        <v>32</v>
      </c>
      <c r="C375" s="60"/>
      <c r="D375" s="68"/>
      <c r="E375" s="74"/>
      <c r="F375" s="140"/>
      <c r="G375" s="141"/>
      <c r="H375" s="66">
        <f t="shared" si="59"/>
        <v>40356.300000000003</v>
      </c>
      <c r="I375" s="140"/>
      <c r="J375" s="288">
        <v>40356.300000000003</v>
      </c>
      <c r="K375" s="7"/>
      <c r="L375" s="7"/>
      <c r="M375" s="288">
        <v>26643.7</v>
      </c>
      <c r="N375" s="131"/>
      <c r="O375" s="132"/>
      <c r="P375" s="132"/>
    </row>
    <row r="376" spans="1:16" s="19" customFormat="1">
      <c r="A376" s="68"/>
      <c r="B376" s="72" t="s">
        <v>33</v>
      </c>
      <c r="C376" s="60"/>
      <c r="D376" s="68"/>
      <c r="E376" s="74"/>
      <c r="F376" s="140"/>
      <c r="G376" s="141"/>
      <c r="H376" s="66">
        <f t="shared" si="59"/>
        <v>0</v>
      </c>
      <c r="I376" s="140"/>
      <c r="J376" s="288"/>
      <c r="K376" s="7"/>
      <c r="L376" s="7"/>
      <c r="M376" s="283"/>
      <c r="N376" s="131"/>
      <c r="O376" s="132"/>
      <c r="P376" s="132"/>
    </row>
    <row r="377" spans="1:16" s="19" customFormat="1" ht="42" customHeight="1">
      <c r="A377" s="68">
        <v>2</v>
      </c>
      <c r="B377" s="142" t="s">
        <v>24</v>
      </c>
      <c r="C377" s="241" t="s">
        <v>239</v>
      </c>
      <c r="D377" s="80" t="s">
        <v>25</v>
      </c>
      <c r="E377" s="80">
        <v>8510.6</v>
      </c>
      <c r="F377" s="80">
        <f>F379</f>
        <v>5138.7461459403903</v>
      </c>
      <c r="G377" s="140"/>
      <c r="H377" s="113"/>
      <c r="I377" s="113"/>
      <c r="J377" s="275"/>
      <c r="K377" s="7"/>
      <c r="L377" s="7"/>
      <c r="M377" s="275"/>
      <c r="N377" s="131"/>
      <c r="O377" s="132"/>
      <c r="P377" s="132"/>
    </row>
    <row r="378" spans="1:16" s="20" customFormat="1">
      <c r="A378" s="68"/>
      <c r="B378" s="72" t="s">
        <v>86</v>
      </c>
      <c r="C378" s="60"/>
      <c r="D378" s="68"/>
      <c r="E378" s="96" t="s">
        <v>285</v>
      </c>
      <c r="F378" s="143"/>
      <c r="G378" s="140"/>
      <c r="H378" s="66">
        <f t="shared" ref="H378:H397" si="60">I378+J378</f>
        <v>0</v>
      </c>
      <c r="I378" s="140"/>
      <c r="J378" s="288"/>
      <c r="K378" s="289" t="s">
        <v>137</v>
      </c>
      <c r="L378" s="290"/>
      <c r="M378" s="291"/>
      <c r="N378" s="144"/>
      <c r="O378" s="145"/>
      <c r="P378" s="145"/>
    </row>
    <row r="379" spans="1:16" s="20" customFormat="1">
      <c r="A379" s="68"/>
      <c r="B379" s="72" t="s">
        <v>85</v>
      </c>
      <c r="C379" s="60"/>
      <c r="D379" s="68"/>
      <c r="E379" s="74"/>
      <c r="F379" s="70">
        <f>G379/D4</f>
        <v>5138.7461459403903</v>
      </c>
      <c r="G379" s="66">
        <f>H379</f>
        <v>30000</v>
      </c>
      <c r="H379" s="66">
        <f t="shared" si="60"/>
        <v>30000</v>
      </c>
      <c r="I379" s="140"/>
      <c r="J379" s="288">
        <v>30000</v>
      </c>
      <c r="K379" s="290"/>
      <c r="L379" s="290"/>
      <c r="M379" s="291"/>
      <c r="N379" s="144"/>
      <c r="O379" s="145"/>
      <c r="P379" s="145"/>
    </row>
    <row r="380" spans="1:16" s="20" customFormat="1">
      <c r="A380" s="68"/>
      <c r="B380" s="72" t="s">
        <v>87</v>
      </c>
      <c r="C380" s="60"/>
      <c r="D380" s="68"/>
      <c r="E380" s="74"/>
      <c r="F380" s="141"/>
      <c r="G380" s="141"/>
      <c r="H380" s="66">
        <f t="shared" si="60"/>
        <v>0</v>
      </c>
      <c r="I380" s="140"/>
      <c r="J380" s="288"/>
      <c r="K380" s="290">
        <v>195300</v>
      </c>
      <c r="L380" s="290"/>
      <c r="M380" s="291"/>
      <c r="N380" s="144"/>
      <c r="O380" s="145"/>
      <c r="P380" s="145"/>
    </row>
    <row r="381" spans="1:16" s="20" customFormat="1">
      <c r="A381" s="68"/>
      <c r="B381" s="72" t="s">
        <v>31</v>
      </c>
      <c r="C381" s="60"/>
      <c r="D381" s="68"/>
      <c r="E381" s="74"/>
      <c r="F381" s="141"/>
      <c r="G381" s="141"/>
      <c r="H381" s="66">
        <f t="shared" si="60"/>
        <v>0</v>
      </c>
      <c r="I381" s="140"/>
      <c r="J381" s="288"/>
      <c r="K381" s="290"/>
      <c r="L381" s="290"/>
      <c r="M381" s="291"/>
      <c r="N381" s="144"/>
      <c r="O381" s="145"/>
      <c r="P381" s="145"/>
    </row>
    <row r="382" spans="1:16" s="20" customFormat="1">
      <c r="A382" s="68"/>
      <c r="B382" s="72" t="s">
        <v>32</v>
      </c>
      <c r="C382" s="60"/>
      <c r="D382" s="68"/>
      <c r="E382" s="74"/>
      <c r="F382" s="141"/>
      <c r="G382" s="141"/>
      <c r="H382" s="66">
        <f t="shared" si="60"/>
        <v>0</v>
      </c>
      <c r="I382" s="140"/>
      <c r="J382" s="288"/>
      <c r="K382" s="290"/>
      <c r="L382" s="290"/>
      <c r="M382" s="291"/>
      <c r="N382" s="144"/>
      <c r="O382" s="145"/>
      <c r="P382" s="145"/>
    </row>
    <row r="383" spans="1:16" s="20" customFormat="1">
      <c r="A383" s="68"/>
      <c r="B383" s="72" t="s">
        <v>33</v>
      </c>
      <c r="C383" s="60"/>
      <c r="D383" s="68"/>
      <c r="E383" s="74"/>
      <c r="F383" s="92"/>
      <c r="G383" s="141"/>
      <c r="H383" s="66">
        <f t="shared" si="60"/>
        <v>0</v>
      </c>
      <c r="I383" s="95"/>
      <c r="J383" s="268"/>
      <c r="K383" s="290"/>
      <c r="L383" s="290"/>
      <c r="M383" s="291"/>
      <c r="N383" s="144"/>
      <c r="O383" s="145"/>
      <c r="P383" s="145"/>
    </row>
    <row r="384" spans="1:16" s="20" customFormat="1" ht="44.25" customHeight="1">
      <c r="A384" s="68">
        <v>3</v>
      </c>
      <c r="B384" s="142" t="s">
        <v>74</v>
      </c>
      <c r="C384" s="241" t="s">
        <v>21</v>
      </c>
      <c r="D384" s="80" t="s">
        <v>57</v>
      </c>
      <c r="E384" s="80">
        <f>F384</f>
        <v>2786.2139035656069</v>
      </c>
      <c r="F384" s="80">
        <f>F389</f>
        <v>2786.2139035656069</v>
      </c>
      <c r="G384" s="146"/>
      <c r="H384" s="147"/>
      <c r="I384" s="147"/>
      <c r="J384" s="292"/>
      <c r="K384" s="290"/>
      <c r="L384" s="290"/>
      <c r="M384" s="275"/>
      <c r="N384" s="144"/>
      <c r="O384" s="145"/>
      <c r="P384" s="145"/>
    </row>
    <row r="385" spans="1:16" s="20" customFormat="1">
      <c r="A385" s="81"/>
      <c r="B385" s="72" t="s">
        <v>86</v>
      </c>
      <c r="C385" s="242"/>
      <c r="D385" s="81"/>
      <c r="E385" s="96" t="s">
        <v>285</v>
      </c>
      <c r="F385" s="148"/>
      <c r="G385" s="146"/>
      <c r="H385" s="66">
        <f t="shared" si="60"/>
        <v>0</v>
      </c>
      <c r="I385" s="146"/>
      <c r="J385" s="293"/>
      <c r="K385" s="290"/>
      <c r="L385" s="290"/>
      <c r="M385" s="291"/>
      <c r="N385" s="144"/>
      <c r="O385" s="145"/>
      <c r="P385" s="145"/>
    </row>
    <row r="386" spans="1:16" s="20" customFormat="1">
      <c r="A386" s="81"/>
      <c r="B386" s="72" t="s">
        <v>85</v>
      </c>
      <c r="C386" s="242"/>
      <c r="D386" s="81"/>
      <c r="E386" s="82"/>
      <c r="F386" s="146"/>
      <c r="G386" s="149"/>
      <c r="H386" s="66">
        <f t="shared" si="60"/>
        <v>0</v>
      </c>
      <c r="I386" s="146"/>
      <c r="J386" s="293"/>
      <c r="K386" s="290"/>
      <c r="L386" s="290"/>
      <c r="M386" s="291"/>
      <c r="N386" s="144"/>
      <c r="O386" s="145"/>
      <c r="P386" s="145"/>
    </row>
    <row r="387" spans="1:16" s="20" customFormat="1">
      <c r="A387" s="81"/>
      <c r="B387" s="72" t="s">
        <v>87</v>
      </c>
      <c r="C387" s="242"/>
      <c r="D387" s="81"/>
      <c r="E387" s="82"/>
      <c r="F387" s="149"/>
      <c r="G387" s="150"/>
      <c r="H387" s="66">
        <f t="shared" si="60"/>
        <v>0</v>
      </c>
      <c r="I387" s="151"/>
      <c r="J387" s="294"/>
      <c r="K387" s="290">
        <v>195300</v>
      </c>
      <c r="L387" s="290"/>
      <c r="M387" s="291"/>
      <c r="N387" s="144"/>
      <c r="O387" s="145"/>
      <c r="P387" s="145"/>
    </row>
    <row r="388" spans="1:16" s="20" customFormat="1">
      <c r="A388" s="81"/>
      <c r="B388" s="72" t="s">
        <v>31</v>
      </c>
      <c r="C388" s="242"/>
      <c r="D388" s="81"/>
      <c r="E388" s="82"/>
      <c r="F388" s="152"/>
      <c r="G388" s="149"/>
      <c r="H388" s="66">
        <f t="shared" si="60"/>
        <v>0</v>
      </c>
      <c r="I388" s="149"/>
      <c r="J388" s="295"/>
      <c r="K388" s="290"/>
      <c r="L388" s="290"/>
      <c r="M388" s="291"/>
      <c r="N388" s="144"/>
      <c r="O388" s="145"/>
      <c r="P388" s="145"/>
    </row>
    <row r="389" spans="1:16" s="20" customFormat="1">
      <c r="A389" s="81"/>
      <c r="B389" s="72" t="s">
        <v>32</v>
      </c>
      <c r="C389" s="242"/>
      <c r="D389" s="81"/>
      <c r="E389" s="82"/>
      <c r="F389" s="70">
        <f>G389/G4</f>
        <v>2786.2139035656069</v>
      </c>
      <c r="G389" s="66">
        <f>F390*G4+H389</f>
        <v>19814.849624060153</v>
      </c>
      <c r="H389" s="66">
        <f t="shared" si="60"/>
        <v>2500</v>
      </c>
      <c r="I389" s="140"/>
      <c r="J389" s="288">
        <v>2500</v>
      </c>
      <c r="K389" s="290"/>
      <c r="L389" s="290"/>
      <c r="M389" s="291"/>
      <c r="N389" s="144"/>
      <c r="O389" s="145"/>
      <c r="P389" s="145"/>
    </row>
    <row r="390" spans="1:16" s="20" customFormat="1">
      <c r="A390" s="81"/>
      <c r="B390" s="72" t="s">
        <v>33</v>
      </c>
      <c r="C390" s="242"/>
      <c r="D390" s="81"/>
      <c r="E390" s="82"/>
      <c r="F390" s="70">
        <f>G390/H4</f>
        <v>2434.6828603798876</v>
      </c>
      <c r="G390" s="66">
        <f>H390</f>
        <v>18423</v>
      </c>
      <c r="H390" s="66">
        <f t="shared" si="60"/>
        <v>18423</v>
      </c>
      <c r="I390" s="140"/>
      <c r="J390" s="288">
        <v>18423</v>
      </c>
      <c r="K390" s="290"/>
      <c r="L390" s="290"/>
      <c r="M390" s="291"/>
      <c r="N390" s="144"/>
      <c r="O390" s="145"/>
      <c r="P390" s="145"/>
    </row>
    <row r="391" spans="1:16" s="20" customFormat="1" ht="63.75">
      <c r="A391" s="68">
        <v>4</v>
      </c>
      <c r="B391" s="142" t="s">
        <v>126</v>
      </c>
      <c r="C391" s="241" t="s">
        <v>21</v>
      </c>
      <c r="D391" s="80" t="s">
        <v>288</v>
      </c>
      <c r="E391" s="80">
        <v>21542.3</v>
      </c>
      <c r="F391" s="80">
        <f>E391</f>
        <v>21542.3</v>
      </c>
      <c r="G391" s="146"/>
      <c r="H391" s="147"/>
      <c r="I391" s="147"/>
      <c r="J391" s="292"/>
      <c r="K391" s="290"/>
      <c r="L391" s="290"/>
      <c r="M391" s="275"/>
      <c r="N391" s="144"/>
      <c r="O391" s="145"/>
      <c r="P391" s="145"/>
    </row>
    <row r="392" spans="1:16" s="20" customFormat="1">
      <c r="A392" s="81"/>
      <c r="B392" s="72" t="s">
        <v>86</v>
      </c>
      <c r="C392" s="242"/>
      <c r="D392" s="81"/>
      <c r="E392" s="96" t="s">
        <v>285</v>
      </c>
      <c r="F392" s="153"/>
      <c r="G392" s="146"/>
      <c r="H392" s="66">
        <f t="shared" si="60"/>
        <v>0</v>
      </c>
      <c r="I392" s="146"/>
      <c r="J392" s="293"/>
      <c r="K392" s="289" t="s">
        <v>137</v>
      </c>
      <c r="L392" s="290"/>
      <c r="M392" s="291"/>
      <c r="N392" s="144"/>
      <c r="O392" s="145"/>
      <c r="P392" s="145"/>
    </row>
    <row r="393" spans="1:16" s="20" customFormat="1">
      <c r="A393" s="81"/>
      <c r="B393" s="72" t="s">
        <v>85</v>
      </c>
      <c r="C393" s="242"/>
      <c r="D393" s="81"/>
      <c r="E393" s="82"/>
      <c r="F393" s="154"/>
      <c r="G393" s="149"/>
      <c r="H393" s="66">
        <f t="shared" si="60"/>
        <v>0</v>
      </c>
      <c r="I393" s="146"/>
      <c r="J393" s="293"/>
      <c r="K393" s="290"/>
      <c r="L393" s="290"/>
      <c r="M393" s="291"/>
      <c r="N393" s="144"/>
      <c r="O393" s="145"/>
      <c r="P393" s="145"/>
    </row>
    <row r="394" spans="1:16" s="20" customFormat="1">
      <c r="A394" s="81"/>
      <c r="B394" s="72" t="s">
        <v>87</v>
      </c>
      <c r="C394" s="242"/>
      <c r="D394" s="81"/>
      <c r="E394" s="82"/>
      <c r="F394" s="152"/>
      <c r="G394" s="149"/>
      <c r="H394" s="66">
        <f t="shared" si="60"/>
        <v>0</v>
      </c>
      <c r="I394" s="146"/>
      <c r="J394" s="293"/>
      <c r="K394" s="290"/>
      <c r="L394" s="290"/>
      <c r="M394" s="291"/>
      <c r="N394" s="144"/>
      <c r="O394" s="145"/>
      <c r="P394" s="145"/>
    </row>
    <row r="395" spans="1:16" s="20" customFormat="1">
      <c r="A395" s="81"/>
      <c r="B395" s="72" t="s">
        <v>31</v>
      </c>
      <c r="C395" s="242"/>
      <c r="D395" s="81"/>
      <c r="E395" s="82"/>
      <c r="F395" s="152"/>
      <c r="G395" s="149"/>
      <c r="H395" s="66">
        <f t="shared" si="60"/>
        <v>0</v>
      </c>
      <c r="I395" s="146"/>
      <c r="J395" s="293"/>
      <c r="K395" s="290"/>
      <c r="L395" s="290"/>
      <c r="M395" s="291"/>
      <c r="N395" s="144"/>
      <c r="O395" s="145"/>
      <c r="P395" s="145"/>
    </row>
    <row r="396" spans="1:16" s="20" customFormat="1">
      <c r="A396" s="81"/>
      <c r="B396" s="72" t="s">
        <v>32</v>
      </c>
      <c r="C396" s="242"/>
      <c r="D396" s="81"/>
      <c r="E396" s="82"/>
      <c r="F396" s="70">
        <f>F391</f>
        <v>21542.3</v>
      </c>
      <c r="G396" s="140">
        <f>F396*G4</f>
        <v>153203.39709385842</v>
      </c>
      <c r="H396" s="66">
        <f t="shared" si="60"/>
        <v>2500</v>
      </c>
      <c r="I396" s="140"/>
      <c r="J396" s="288">
        <v>2500</v>
      </c>
      <c r="K396" s="290"/>
      <c r="L396" s="290"/>
      <c r="M396" s="291"/>
      <c r="N396" s="144"/>
      <c r="O396" s="145"/>
      <c r="P396" s="145"/>
    </row>
    <row r="397" spans="1:16" s="20" customFormat="1">
      <c r="A397" s="81"/>
      <c r="B397" s="72" t="s">
        <v>33</v>
      </c>
      <c r="C397" s="242"/>
      <c r="D397" s="81"/>
      <c r="E397" s="82"/>
      <c r="F397" s="70">
        <f>F396-H396/G4</f>
        <v>21190.768956814281</v>
      </c>
      <c r="G397" s="140">
        <f>F397*H4</f>
        <v>160348.41450786538</v>
      </c>
      <c r="H397" s="66">
        <f t="shared" si="60"/>
        <v>26053.1</v>
      </c>
      <c r="I397" s="140"/>
      <c r="J397" s="288">
        <v>26053.1</v>
      </c>
      <c r="K397" s="290"/>
      <c r="L397" s="290"/>
      <c r="M397" s="288">
        <v>28523.9</v>
      </c>
      <c r="N397" s="144"/>
      <c r="O397" s="145"/>
      <c r="P397" s="145"/>
    </row>
    <row r="398" spans="1:16" s="32" customFormat="1" ht="24.75" customHeight="1">
      <c r="A398" s="31"/>
      <c r="B398" s="44" t="s">
        <v>222</v>
      </c>
      <c r="C398" s="343"/>
      <c r="D398" s="46"/>
      <c r="E398" s="47"/>
      <c r="F398" s="47"/>
      <c r="G398" s="47"/>
      <c r="H398" s="48">
        <f>H400+H401+H402+H403+H404</f>
        <v>303732.39999999997</v>
      </c>
      <c r="I398" s="48">
        <f t="shared" ref="I398:M398" si="61">I400+I401+I402+I403+I404</f>
        <v>0</v>
      </c>
      <c r="J398" s="48">
        <f t="shared" si="61"/>
        <v>303732.39999999997</v>
      </c>
      <c r="K398" s="48">
        <f t="shared" si="61"/>
        <v>1393100</v>
      </c>
      <c r="L398" s="48">
        <f t="shared" si="61"/>
        <v>1710167.6</v>
      </c>
      <c r="M398" s="48">
        <f t="shared" si="61"/>
        <v>55167.600000000006</v>
      </c>
    </row>
    <row r="399" spans="1:16" s="32" customFormat="1">
      <c r="A399" s="31"/>
      <c r="B399" s="44" t="s">
        <v>86</v>
      </c>
      <c r="C399" s="343"/>
      <c r="D399" s="46"/>
      <c r="E399" s="47"/>
      <c r="F399" s="47"/>
      <c r="G399" s="47"/>
      <c r="H399" s="49">
        <f t="shared" ref="H399:I399" si="62">H371+H378+H385+H392</f>
        <v>101167.3</v>
      </c>
      <c r="I399" s="49">
        <f t="shared" si="62"/>
        <v>0</v>
      </c>
      <c r="J399" s="286">
        <f>J371+J378+J385+J392</f>
        <v>101167.3</v>
      </c>
      <c r="K399" s="269">
        <f>'[1]капстр (с краевыми)'!$J$239-J399</f>
        <v>243502.3</v>
      </c>
      <c r="L399" s="270"/>
      <c r="M399" s="286">
        <f>M371+M378+M385+M392</f>
        <v>0</v>
      </c>
      <c r="N399" s="33"/>
    </row>
    <row r="400" spans="1:16" s="32" customFormat="1">
      <c r="A400" s="31"/>
      <c r="B400" s="44" t="s">
        <v>85</v>
      </c>
      <c r="C400" s="343"/>
      <c r="D400" s="46"/>
      <c r="E400" s="46"/>
      <c r="F400" s="47"/>
      <c r="G400" s="47"/>
      <c r="H400" s="49">
        <f t="shared" ref="H400:J404" si="63">H372+H379+H386+H393</f>
        <v>74362.600000000006</v>
      </c>
      <c r="I400" s="49">
        <f t="shared" si="63"/>
        <v>0</v>
      </c>
      <c r="J400" s="286">
        <f>J372+J379+J386+J393</f>
        <v>74362.600000000006</v>
      </c>
      <c r="K400" s="269">
        <f>J400-'[1]капстр (с краевыми)'!$J$240</f>
        <v>-236037.4</v>
      </c>
      <c r="L400" s="270"/>
      <c r="M400" s="286">
        <f>M372+M379+M386+M393</f>
        <v>0</v>
      </c>
    </row>
    <row r="401" spans="1:16" s="32" customFormat="1">
      <c r="A401" s="31"/>
      <c r="B401" s="44" t="s">
        <v>87</v>
      </c>
      <c r="C401" s="343"/>
      <c r="D401" s="46"/>
      <c r="E401" s="46"/>
      <c r="F401" s="47"/>
      <c r="G401" s="47"/>
      <c r="H401" s="49">
        <f t="shared" si="63"/>
        <v>69537.399999999994</v>
      </c>
      <c r="I401" s="49">
        <f t="shared" si="63"/>
        <v>0</v>
      </c>
      <c r="J401" s="286">
        <f t="shared" si="63"/>
        <v>69537.399999999994</v>
      </c>
      <c r="K401" s="269">
        <f>J401-'[1]капстр (с краевыми)'!$J$241</f>
        <v>-240862.6</v>
      </c>
      <c r="L401" s="270"/>
      <c r="M401" s="286">
        <f t="shared" ref="M401" si="64">M373+M380+M387+M394</f>
        <v>0</v>
      </c>
    </row>
    <row r="402" spans="1:16" s="18" customFormat="1">
      <c r="A402" s="31"/>
      <c r="B402" s="44" t="s">
        <v>31</v>
      </c>
      <c r="C402" s="343"/>
      <c r="D402" s="46"/>
      <c r="E402" s="46"/>
      <c r="F402" s="47"/>
      <c r="G402" s="47"/>
      <c r="H402" s="47">
        <f t="shared" si="63"/>
        <v>70000</v>
      </c>
      <c r="I402" s="47">
        <f t="shared" si="63"/>
        <v>0</v>
      </c>
      <c r="J402" s="296">
        <f t="shared" si="63"/>
        <v>70000</v>
      </c>
      <c r="K402" s="269">
        <v>560000</v>
      </c>
      <c r="L402" s="270">
        <f>K402-J402</f>
        <v>490000</v>
      </c>
      <c r="M402" s="296">
        <f t="shared" ref="M402" si="65">M374+M381+M388+M395</f>
        <v>0</v>
      </c>
      <c r="N402" s="109"/>
      <c r="O402" s="108"/>
      <c r="P402" s="108"/>
    </row>
    <row r="403" spans="1:16" s="18" customFormat="1">
      <c r="A403" s="31"/>
      <c r="B403" s="44" t="s">
        <v>32</v>
      </c>
      <c r="C403" s="343"/>
      <c r="D403" s="46"/>
      <c r="E403" s="46"/>
      <c r="F403" s="47"/>
      <c r="G403" s="47"/>
      <c r="H403" s="47">
        <f t="shared" si="63"/>
        <v>45356.3</v>
      </c>
      <c r="I403" s="47">
        <f t="shared" si="63"/>
        <v>0</v>
      </c>
      <c r="J403" s="296">
        <f t="shared" si="63"/>
        <v>45356.3</v>
      </c>
      <c r="K403" s="272">
        <v>600000</v>
      </c>
      <c r="L403" s="270">
        <f>K403-J403</f>
        <v>554643.69999999995</v>
      </c>
      <c r="M403" s="296">
        <f t="shared" ref="M403" si="66">M375+M382+M389+M396</f>
        <v>26643.7</v>
      </c>
      <c r="N403" s="109"/>
      <c r="O403" s="108"/>
      <c r="P403" s="108"/>
    </row>
    <row r="404" spans="1:16" s="18" customFormat="1">
      <c r="A404" s="31"/>
      <c r="B404" s="44" t="s">
        <v>33</v>
      </c>
      <c r="C404" s="343"/>
      <c r="D404" s="46"/>
      <c r="E404" s="46"/>
      <c r="F404" s="47"/>
      <c r="G404" s="47"/>
      <c r="H404" s="47">
        <f t="shared" si="63"/>
        <v>44476.1</v>
      </c>
      <c r="I404" s="47">
        <f t="shared" si="63"/>
        <v>0</v>
      </c>
      <c r="J404" s="296">
        <f t="shared" si="63"/>
        <v>44476.1</v>
      </c>
      <c r="K404" s="272">
        <v>710000</v>
      </c>
      <c r="L404" s="270">
        <f>K404-J404</f>
        <v>665523.9</v>
      </c>
      <c r="M404" s="296">
        <f t="shared" ref="M404" si="67">M376+M383+M390+M397</f>
        <v>28523.9</v>
      </c>
      <c r="N404" s="109"/>
      <c r="O404" s="108"/>
      <c r="P404" s="108"/>
    </row>
    <row r="405" spans="1:16" s="20" customFormat="1" ht="31.5">
      <c r="A405" s="155"/>
      <c r="B405" s="67" t="s">
        <v>16</v>
      </c>
      <c r="C405" s="347"/>
      <c r="D405" s="148"/>
      <c r="E405" s="148"/>
      <c r="F405" s="148"/>
      <c r="G405" s="150"/>
      <c r="H405" s="151"/>
      <c r="I405" s="151"/>
      <c r="J405" s="294"/>
      <c r="K405" s="290"/>
      <c r="L405" s="290"/>
      <c r="M405" s="291"/>
      <c r="N405" s="144"/>
      <c r="O405" s="145"/>
      <c r="P405" s="145"/>
    </row>
    <row r="406" spans="1:16" s="19" customFormat="1" ht="42" customHeight="1">
      <c r="A406" s="68">
        <v>1</v>
      </c>
      <c r="B406" s="142" t="s">
        <v>127</v>
      </c>
      <c r="C406" s="241" t="s">
        <v>72</v>
      </c>
      <c r="D406" s="80" t="s">
        <v>40</v>
      </c>
      <c r="E406" s="80">
        <v>41213.9</v>
      </c>
      <c r="F406" s="80">
        <v>14395.269784172662</v>
      </c>
      <c r="G406" s="140"/>
      <c r="H406" s="113"/>
      <c r="I406" s="113"/>
      <c r="J406" s="275"/>
      <c r="K406" s="7"/>
      <c r="L406" s="7"/>
      <c r="M406" s="275"/>
      <c r="N406" s="131"/>
      <c r="O406" s="132"/>
      <c r="P406" s="132"/>
    </row>
    <row r="407" spans="1:16" s="20" customFormat="1">
      <c r="A407" s="68"/>
      <c r="B407" s="142" t="s">
        <v>86</v>
      </c>
      <c r="C407" s="60"/>
      <c r="D407" s="68"/>
      <c r="E407" s="134"/>
      <c r="F407" s="66">
        <f>G407/C4</f>
        <v>14395.269784172662</v>
      </c>
      <c r="G407" s="66">
        <v>80037.7</v>
      </c>
      <c r="H407" s="66">
        <f t="shared" ref="H407:H412" si="68">I407+J407</f>
        <v>80037.7</v>
      </c>
      <c r="I407" s="140">
        <v>79937.7</v>
      </c>
      <c r="J407" s="288">
        <v>100</v>
      </c>
      <c r="K407" s="297"/>
      <c r="L407" s="297"/>
      <c r="M407" s="298"/>
      <c r="N407" s="144"/>
      <c r="O407" s="145"/>
      <c r="P407" s="145"/>
    </row>
    <row r="408" spans="1:16" s="19" customFormat="1">
      <c r="A408" s="68"/>
      <c r="B408" s="72" t="s">
        <v>85</v>
      </c>
      <c r="C408" s="248"/>
      <c r="D408" s="156"/>
      <c r="E408" s="157"/>
      <c r="F408" s="158"/>
      <c r="G408" s="140"/>
      <c r="H408" s="113">
        <f t="shared" si="68"/>
        <v>0</v>
      </c>
      <c r="I408" s="113"/>
      <c r="J408" s="275"/>
      <c r="K408" s="299"/>
      <c r="L408" s="299"/>
      <c r="M408" s="300"/>
      <c r="N408" s="131"/>
      <c r="O408" s="132"/>
      <c r="P408" s="132"/>
    </row>
    <row r="409" spans="1:16" s="20" customFormat="1">
      <c r="A409" s="92"/>
      <c r="B409" s="72" t="s">
        <v>87</v>
      </c>
      <c r="C409" s="60"/>
      <c r="D409" s="159"/>
      <c r="E409" s="68"/>
      <c r="F409" s="68"/>
      <c r="G409" s="160"/>
      <c r="H409" s="66">
        <f t="shared" si="68"/>
        <v>0</v>
      </c>
      <c r="I409" s="113"/>
      <c r="J409" s="275"/>
      <c r="K409" s="297"/>
      <c r="L409" s="297"/>
      <c r="M409" s="298"/>
      <c r="N409" s="144"/>
      <c r="O409" s="145"/>
      <c r="P409" s="145"/>
    </row>
    <row r="410" spans="1:16" s="20" customFormat="1">
      <c r="A410" s="92"/>
      <c r="B410" s="72" t="s">
        <v>31</v>
      </c>
      <c r="C410" s="60"/>
      <c r="D410" s="159"/>
      <c r="E410" s="68"/>
      <c r="F410" s="68"/>
      <c r="G410" s="160"/>
      <c r="H410" s="66">
        <f t="shared" si="68"/>
        <v>0</v>
      </c>
      <c r="I410" s="113"/>
      <c r="J410" s="275"/>
      <c r="K410" s="297"/>
      <c r="L410" s="297"/>
      <c r="M410" s="298"/>
      <c r="N410" s="144"/>
      <c r="O410" s="145"/>
      <c r="P410" s="145"/>
    </row>
    <row r="411" spans="1:16" s="20" customFormat="1">
      <c r="A411" s="92"/>
      <c r="B411" s="72" t="s">
        <v>32</v>
      </c>
      <c r="C411" s="60"/>
      <c r="D411" s="159"/>
      <c r="E411" s="68"/>
      <c r="F411" s="68"/>
      <c r="G411" s="160"/>
      <c r="H411" s="66">
        <f t="shared" si="68"/>
        <v>0</v>
      </c>
      <c r="I411" s="113"/>
      <c r="J411" s="275"/>
      <c r="K411" s="297"/>
      <c r="L411" s="297"/>
      <c r="M411" s="298"/>
      <c r="N411" s="144"/>
      <c r="O411" s="145"/>
      <c r="P411" s="145"/>
    </row>
    <row r="412" spans="1:16" s="20" customFormat="1">
      <c r="A412" s="92"/>
      <c r="B412" s="72" t="s">
        <v>33</v>
      </c>
      <c r="C412" s="60"/>
      <c r="D412" s="159"/>
      <c r="E412" s="68"/>
      <c r="F412" s="68"/>
      <c r="G412" s="160"/>
      <c r="H412" s="66">
        <f t="shared" si="68"/>
        <v>0</v>
      </c>
      <c r="I412" s="113"/>
      <c r="J412" s="275"/>
      <c r="K412" s="297"/>
      <c r="L412" s="297"/>
      <c r="M412" s="298"/>
      <c r="N412" s="144"/>
      <c r="O412" s="145"/>
      <c r="P412" s="145"/>
    </row>
    <row r="413" spans="1:16" s="19" customFormat="1" ht="36.75" customHeight="1">
      <c r="A413" s="68">
        <v>2</v>
      </c>
      <c r="B413" s="142" t="s">
        <v>73</v>
      </c>
      <c r="C413" s="241" t="s">
        <v>72</v>
      </c>
      <c r="D413" s="80" t="s">
        <v>40</v>
      </c>
      <c r="E413" s="80">
        <v>35448.5</v>
      </c>
      <c r="F413" s="80">
        <v>14977.5</v>
      </c>
      <c r="G413" s="140"/>
      <c r="H413" s="113"/>
      <c r="I413" s="113"/>
      <c r="J413" s="275"/>
      <c r="K413" s="299"/>
      <c r="L413" s="299"/>
      <c r="M413" s="275"/>
      <c r="N413" s="131"/>
      <c r="O413" s="132"/>
      <c r="P413" s="132"/>
    </row>
    <row r="414" spans="1:16" s="20" customFormat="1">
      <c r="A414" s="68"/>
      <c r="B414" s="142" t="s">
        <v>86</v>
      </c>
      <c r="C414" s="60"/>
      <c r="D414" s="68"/>
      <c r="E414" s="55" t="s">
        <v>286</v>
      </c>
      <c r="F414" s="66">
        <f>G414/C4</f>
        <v>14977.5</v>
      </c>
      <c r="G414" s="66">
        <v>83274.899999999994</v>
      </c>
      <c r="H414" s="66">
        <f t="shared" ref="H414:H419" si="69">I414+J414</f>
        <v>83274.899999999994</v>
      </c>
      <c r="I414" s="140">
        <v>83174.899999999994</v>
      </c>
      <c r="J414" s="288">
        <v>100</v>
      </c>
      <c r="K414" s="297"/>
      <c r="L414" s="297"/>
      <c r="M414" s="298"/>
      <c r="N414" s="144"/>
      <c r="O414" s="145"/>
      <c r="P414" s="145"/>
    </row>
    <row r="415" spans="1:16" s="20" customFormat="1">
      <c r="A415" s="92"/>
      <c r="B415" s="72" t="s">
        <v>85</v>
      </c>
      <c r="C415" s="60"/>
      <c r="D415" s="159"/>
      <c r="E415" s="68"/>
      <c r="F415" s="68"/>
      <c r="G415" s="160"/>
      <c r="H415" s="66">
        <f t="shared" si="69"/>
        <v>0</v>
      </c>
      <c r="I415" s="113"/>
      <c r="J415" s="275"/>
      <c r="K415" s="297"/>
      <c r="L415" s="297"/>
      <c r="M415" s="298"/>
      <c r="N415" s="144"/>
      <c r="O415" s="145"/>
      <c r="P415" s="145"/>
    </row>
    <row r="416" spans="1:16" s="20" customFormat="1">
      <c r="A416" s="92"/>
      <c r="B416" s="72" t="s">
        <v>87</v>
      </c>
      <c r="C416" s="60"/>
      <c r="D416" s="159"/>
      <c r="E416" s="68"/>
      <c r="F416" s="68"/>
      <c r="G416" s="160"/>
      <c r="H416" s="66">
        <f t="shared" si="69"/>
        <v>0</v>
      </c>
      <c r="I416" s="113"/>
      <c r="J416" s="275"/>
      <c r="K416" s="297"/>
      <c r="L416" s="297"/>
      <c r="M416" s="298"/>
      <c r="N416" s="144"/>
      <c r="O416" s="145"/>
      <c r="P416" s="145"/>
    </row>
    <row r="417" spans="1:16" s="20" customFormat="1">
      <c r="A417" s="92"/>
      <c r="B417" s="72" t="s">
        <v>31</v>
      </c>
      <c r="C417" s="60"/>
      <c r="D417" s="159"/>
      <c r="E417" s="68"/>
      <c r="F417" s="68"/>
      <c r="G417" s="160"/>
      <c r="H417" s="66">
        <f t="shared" si="69"/>
        <v>0</v>
      </c>
      <c r="I417" s="113"/>
      <c r="J417" s="275"/>
      <c r="K417" s="297"/>
      <c r="L417" s="297"/>
      <c r="M417" s="298"/>
      <c r="N417" s="144"/>
      <c r="O417" s="145"/>
      <c r="P417" s="145"/>
    </row>
    <row r="418" spans="1:16" s="20" customFormat="1">
      <c r="A418" s="92"/>
      <c r="B418" s="72" t="s">
        <v>32</v>
      </c>
      <c r="C418" s="60"/>
      <c r="D418" s="159"/>
      <c r="E418" s="68"/>
      <c r="F418" s="68"/>
      <c r="G418" s="160"/>
      <c r="H418" s="66">
        <f t="shared" si="69"/>
        <v>0</v>
      </c>
      <c r="I418" s="113"/>
      <c r="J418" s="275"/>
      <c r="K418" s="297"/>
      <c r="L418" s="297"/>
      <c r="M418" s="298"/>
      <c r="N418" s="144"/>
      <c r="O418" s="145"/>
      <c r="P418" s="145"/>
    </row>
    <row r="419" spans="1:16" s="20" customFormat="1">
      <c r="A419" s="92"/>
      <c r="B419" s="72" t="s">
        <v>33</v>
      </c>
      <c r="C419" s="60"/>
      <c r="D419" s="159"/>
      <c r="E419" s="68"/>
      <c r="F419" s="68"/>
      <c r="G419" s="160"/>
      <c r="H419" s="66">
        <f t="shared" si="69"/>
        <v>0</v>
      </c>
      <c r="I419" s="113"/>
      <c r="J419" s="275"/>
      <c r="K419" s="297"/>
      <c r="L419" s="297"/>
      <c r="M419" s="298"/>
      <c r="N419" s="144"/>
      <c r="O419" s="145"/>
      <c r="P419" s="145"/>
    </row>
    <row r="420" spans="1:16" s="19" customFormat="1" ht="38.25" customHeight="1">
      <c r="A420" s="68">
        <v>3</v>
      </c>
      <c r="B420" s="142" t="s">
        <v>128</v>
      </c>
      <c r="C420" s="241" t="s">
        <v>89</v>
      </c>
      <c r="D420" s="80" t="s">
        <v>84</v>
      </c>
      <c r="E420" s="80">
        <v>35125.9</v>
      </c>
      <c r="F420" s="80">
        <f>E420</f>
        <v>35125.9</v>
      </c>
      <c r="G420" s="140"/>
      <c r="H420" s="113"/>
      <c r="I420" s="113"/>
      <c r="J420" s="275"/>
      <c r="K420" s="299"/>
      <c r="L420" s="299"/>
      <c r="M420" s="275"/>
      <c r="N420" s="131"/>
      <c r="O420" s="132"/>
      <c r="P420" s="132"/>
    </row>
    <row r="421" spans="1:16" s="20" customFormat="1">
      <c r="A421" s="68"/>
      <c r="B421" s="142" t="s">
        <v>86</v>
      </c>
      <c r="C421" s="60"/>
      <c r="D421" s="68"/>
      <c r="E421" s="134"/>
      <c r="F421" s="70">
        <f>G421/C4</f>
        <v>484.26258992805759</v>
      </c>
      <c r="G421" s="66">
        <f>H421</f>
        <v>2692.5</v>
      </c>
      <c r="H421" s="140">
        <f t="shared" ref="H421:H426" si="70">I421+J421</f>
        <v>2692.5</v>
      </c>
      <c r="I421" s="140"/>
      <c r="J421" s="288">
        <v>2692.5</v>
      </c>
      <c r="K421" s="297"/>
      <c r="L421" s="297"/>
      <c r="M421" s="298"/>
      <c r="N421" s="144"/>
      <c r="O421" s="145"/>
      <c r="P421" s="145"/>
    </row>
    <row r="422" spans="1:16" s="20" customFormat="1">
      <c r="A422" s="92"/>
      <c r="B422" s="72" t="s">
        <v>85</v>
      </c>
      <c r="C422" s="239"/>
      <c r="D422" s="92"/>
      <c r="E422" s="96"/>
      <c r="F422" s="96"/>
      <c r="G422" s="95"/>
      <c r="H422" s="66">
        <f t="shared" si="70"/>
        <v>0</v>
      </c>
      <c r="I422" s="95"/>
      <c r="J422" s="268"/>
      <c r="K422" s="297"/>
      <c r="L422" s="297"/>
      <c r="M422" s="298"/>
      <c r="N422" s="144"/>
      <c r="O422" s="145"/>
      <c r="P422" s="145"/>
    </row>
    <row r="423" spans="1:16" s="20" customFormat="1">
      <c r="A423" s="92"/>
      <c r="B423" s="72" t="s">
        <v>87</v>
      </c>
      <c r="C423" s="239"/>
      <c r="D423" s="92"/>
      <c r="E423" s="96"/>
      <c r="F423" s="96"/>
      <c r="G423" s="95"/>
      <c r="H423" s="66">
        <f t="shared" si="70"/>
        <v>0</v>
      </c>
      <c r="I423" s="95"/>
      <c r="J423" s="268"/>
      <c r="K423" s="297"/>
      <c r="L423" s="297"/>
      <c r="M423" s="298"/>
      <c r="N423" s="144"/>
      <c r="O423" s="145"/>
      <c r="P423" s="145"/>
    </row>
    <row r="424" spans="1:16" s="20" customFormat="1">
      <c r="A424" s="92"/>
      <c r="B424" s="72" t="s">
        <v>31</v>
      </c>
      <c r="C424" s="239"/>
      <c r="D424" s="92"/>
      <c r="E424" s="96"/>
      <c r="F424" s="96"/>
      <c r="G424" s="95"/>
      <c r="H424" s="66">
        <f t="shared" si="70"/>
        <v>0</v>
      </c>
      <c r="I424" s="95"/>
      <c r="J424" s="268"/>
      <c r="K424" s="297"/>
      <c r="L424" s="297"/>
      <c r="M424" s="298"/>
      <c r="N424" s="144"/>
      <c r="O424" s="145"/>
      <c r="P424" s="145"/>
    </row>
    <row r="425" spans="1:16" s="20" customFormat="1">
      <c r="A425" s="92"/>
      <c r="B425" s="72" t="s">
        <v>32</v>
      </c>
      <c r="C425" s="239"/>
      <c r="D425" s="92"/>
      <c r="E425" s="96"/>
      <c r="F425" s="96"/>
      <c r="G425" s="95"/>
      <c r="H425" s="66">
        <f t="shared" si="70"/>
        <v>0</v>
      </c>
      <c r="I425" s="95"/>
      <c r="J425" s="268"/>
      <c r="K425" s="297"/>
      <c r="L425" s="297"/>
      <c r="M425" s="298"/>
      <c r="N425" s="144"/>
      <c r="O425" s="145"/>
      <c r="P425" s="145"/>
    </row>
    <row r="426" spans="1:16" s="20" customFormat="1">
      <c r="A426" s="92"/>
      <c r="B426" s="72" t="s">
        <v>33</v>
      </c>
      <c r="C426" s="239"/>
      <c r="D426" s="92"/>
      <c r="E426" s="96"/>
      <c r="F426" s="96"/>
      <c r="G426" s="95"/>
      <c r="H426" s="66">
        <f t="shared" si="70"/>
        <v>0</v>
      </c>
      <c r="I426" s="95"/>
      <c r="J426" s="268"/>
      <c r="K426" s="297"/>
      <c r="L426" s="297"/>
      <c r="M426" s="298"/>
      <c r="N426" s="144"/>
      <c r="O426" s="145"/>
      <c r="P426" s="145"/>
    </row>
    <row r="427" spans="1:16" s="20" customFormat="1" ht="51">
      <c r="A427" s="68">
        <v>4</v>
      </c>
      <c r="B427" s="142" t="s">
        <v>370</v>
      </c>
      <c r="C427" s="241" t="s">
        <v>21</v>
      </c>
      <c r="D427" s="80" t="s">
        <v>57</v>
      </c>
      <c r="E427" s="80">
        <v>13520.2</v>
      </c>
      <c r="F427" s="80">
        <v>13520.2</v>
      </c>
      <c r="G427" s="140"/>
      <c r="H427" s="113"/>
      <c r="I427" s="113"/>
      <c r="J427" s="275"/>
      <c r="K427" s="299"/>
      <c r="L427" s="299"/>
      <c r="M427" s="275"/>
      <c r="N427" s="144"/>
      <c r="O427" s="145"/>
      <c r="P427" s="145"/>
    </row>
    <row r="428" spans="1:16" s="20" customFormat="1">
      <c r="A428" s="161"/>
      <c r="B428" s="162" t="s">
        <v>215</v>
      </c>
      <c r="C428" s="239"/>
      <c r="D428" s="163"/>
      <c r="E428" s="51"/>
      <c r="F428" s="51"/>
      <c r="G428" s="51"/>
      <c r="H428" s="66">
        <f t="shared" ref="H428:H433" si="71">I428+J428</f>
        <v>0</v>
      </c>
      <c r="I428" s="51"/>
      <c r="J428" s="301"/>
      <c r="K428" s="301"/>
      <c r="L428" s="297"/>
      <c r="M428" s="301"/>
      <c r="N428" s="144"/>
      <c r="O428" s="145"/>
      <c r="P428" s="145"/>
    </row>
    <row r="429" spans="1:16" s="20" customFormat="1">
      <c r="A429" s="161"/>
      <c r="B429" s="162" t="s">
        <v>216</v>
      </c>
      <c r="C429" s="239"/>
      <c r="D429" s="163"/>
      <c r="E429" s="51"/>
      <c r="F429" s="51"/>
      <c r="G429" s="51"/>
      <c r="H429" s="66">
        <f t="shared" si="71"/>
        <v>0</v>
      </c>
      <c r="I429" s="51"/>
      <c r="J429" s="301"/>
      <c r="K429" s="301"/>
      <c r="L429" s="297"/>
      <c r="M429" s="301"/>
      <c r="N429" s="144"/>
      <c r="O429" s="145"/>
      <c r="P429" s="145"/>
    </row>
    <row r="430" spans="1:16" s="20" customFormat="1">
      <c r="A430" s="161"/>
      <c r="B430" s="162" t="s">
        <v>217</v>
      </c>
      <c r="C430" s="239"/>
      <c r="D430" s="163"/>
      <c r="E430" s="51"/>
      <c r="F430" s="51"/>
      <c r="G430" s="164"/>
      <c r="H430" s="66">
        <f t="shared" si="71"/>
        <v>0</v>
      </c>
      <c r="I430" s="51"/>
      <c r="J430" s="301"/>
      <c r="K430" s="301"/>
      <c r="L430" s="297"/>
      <c r="M430" s="301"/>
      <c r="N430" s="144"/>
      <c r="O430" s="145"/>
      <c r="P430" s="145"/>
    </row>
    <row r="431" spans="1:16" s="20" customFormat="1">
      <c r="A431" s="161"/>
      <c r="B431" s="162" t="s">
        <v>31</v>
      </c>
      <c r="C431" s="239"/>
      <c r="D431" s="163"/>
      <c r="E431" s="51"/>
      <c r="F431" s="51"/>
      <c r="G431" s="164"/>
      <c r="H431" s="66">
        <f t="shared" si="71"/>
        <v>0</v>
      </c>
      <c r="I431" s="51"/>
      <c r="J431" s="301"/>
      <c r="K431" s="301"/>
      <c r="L431" s="297"/>
      <c r="M431" s="301"/>
      <c r="N431" s="144"/>
      <c r="O431" s="145"/>
      <c r="P431" s="145"/>
    </row>
    <row r="432" spans="1:16" s="20" customFormat="1">
      <c r="A432" s="161"/>
      <c r="B432" s="162" t="s">
        <v>32</v>
      </c>
      <c r="C432" s="239"/>
      <c r="D432" s="163"/>
      <c r="E432" s="51"/>
      <c r="F432" s="51">
        <v>13520.2</v>
      </c>
      <c r="G432" s="164">
        <v>96152.2</v>
      </c>
      <c r="H432" s="66">
        <f t="shared" si="71"/>
        <v>3163.7</v>
      </c>
      <c r="I432" s="51"/>
      <c r="J432" s="301">
        <v>3163.7</v>
      </c>
      <c r="K432" s="301">
        <v>4836.3</v>
      </c>
      <c r="L432" s="297"/>
      <c r="M432" s="301">
        <v>4836.3</v>
      </c>
      <c r="N432" s="144"/>
      <c r="O432" s="145"/>
      <c r="P432" s="145"/>
    </row>
    <row r="433" spans="1:16" s="20" customFormat="1">
      <c r="A433" s="161"/>
      <c r="B433" s="162" t="s">
        <v>33</v>
      </c>
      <c r="C433" s="239"/>
      <c r="D433" s="163"/>
      <c r="E433" s="51"/>
      <c r="F433" s="51">
        <v>12395.3</v>
      </c>
      <c r="G433" s="51">
        <v>93794</v>
      </c>
      <c r="H433" s="66">
        <f t="shared" si="71"/>
        <v>72356.5</v>
      </c>
      <c r="I433" s="51"/>
      <c r="J433" s="301">
        <f>90000-17643.5</f>
        <v>72356.5</v>
      </c>
      <c r="K433" s="301"/>
      <c r="L433" s="297"/>
      <c r="M433" s="301"/>
      <c r="N433" s="144"/>
      <c r="O433" s="145"/>
      <c r="P433" s="145"/>
    </row>
    <row r="434" spans="1:16" s="20" customFormat="1" ht="41.25" customHeight="1">
      <c r="A434" s="68">
        <v>5</v>
      </c>
      <c r="B434" s="142" t="s">
        <v>371</v>
      </c>
      <c r="C434" s="241" t="s">
        <v>21</v>
      </c>
      <c r="D434" s="80" t="s">
        <v>57</v>
      </c>
      <c r="E434" s="80">
        <v>6739</v>
      </c>
      <c r="F434" s="80">
        <v>6739</v>
      </c>
      <c r="G434" s="140"/>
      <c r="H434" s="113"/>
      <c r="I434" s="113"/>
      <c r="J434" s="275"/>
      <c r="K434" s="299"/>
      <c r="L434" s="299"/>
      <c r="M434" s="275"/>
      <c r="N434" s="144"/>
      <c r="O434" s="145"/>
      <c r="P434" s="145"/>
    </row>
    <row r="435" spans="1:16" s="38" customFormat="1">
      <c r="A435" s="161"/>
      <c r="B435" s="162" t="s">
        <v>215</v>
      </c>
      <c r="C435" s="239"/>
      <c r="D435" s="163"/>
      <c r="E435" s="165"/>
      <c r="F435" s="165"/>
      <c r="G435" s="51"/>
      <c r="H435" s="66">
        <f t="shared" ref="H435:H440" si="72">I435+J435</f>
        <v>0</v>
      </c>
      <c r="I435" s="51"/>
      <c r="J435" s="301"/>
      <c r="K435" s="301"/>
      <c r="L435" s="302"/>
      <c r="M435" s="301"/>
      <c r="N435" s="166"/>
      <c r="O435" s="167"/>
      <c r="P435" s="167"/>
    </row>
    <row r="436" spans="1:16" s="38" customFormat="1">
      <c r="A436" s="161"/>
      <c r="B436" s="162" t="s">
        <v>216</v>
      </c>
      <c r="C436" s="239"/>
      <c r="D436" s="163"/>
      <c r="E436" s="165"/>
      <c r="F436" s="165"/>
      <c r="G436" s="51"/>
      <c r="H436" s="66">
        <f t="shared" si="72"/>
        <v>0</v>
      </c>
      <c r="I436" s="51"/>
      <c r="J436" s="301"/>
      <c r="K436" s="301"/>
      <c r="L436" s="302"/>
      <c r="M436" s="301"/>
      <c r="N436" s="166"/>
      <c r="O436" s="167"/>
      <c r="P436" s="167"/>
    </row>
    <row r="437" spans="1:16" s="38" customFormat="1">
      <c r="A437" s="161"/>
      <c r="B437" s="162" t="s">
        <v>217</v>
      </c>
      <c r="C437" s="239"/>
      <c r="D437" s="163"/>
      <c r="E437" s="165"/>
      <c r="F437" s="165"/>
      <c r="G437" s="51"/>
      <c r="H437" s="66">
        <f t="shared" si="72"/>
        <v>0</v>
      </c>
      <c r="I437" s="51"/>
      <c r="J437" s="301"/>
      <c r="K437" s="301"/>
      <c r="L437" s="302"/>
      <c r="M437" s="301"/>
      <c r="N437" s="166"/>
      <c r="O437" s="167"/>
      <c r="P437" s="167"/>
    </row>
    <row r="438" spans="1:16" s="38" customFormat="1">
      <c r="A438" s="161"/>
      <c r="B438" s="162" t="s">
        <v>31</v>
      </c>
      <c r="C438" s="239"/>
      <c r="D438" s="163"/>
      <c r="E438" s="165"/>
      <c r="F438" s="165"/>
      <c r="G438" s="51"/>
      <c r="H438" s="66">
        <f t="shared" si="72"/>
        <v>0</v>
      </c>
      <c r="I438" s="51"/>
      <c r="J438" s="301"/>
      <c r="K438" s="301"/>
      <c r="L438" s="302"/>
      <c r="M438" s="301"/>
      <c r="N438" s="166"/>
      <c r="O438" s="167"/>
      <c r="P438" s="167"/>
    </row>
    <row r="439" spans="1:16" s="38" customFormat="1">
      <c r="A439" s="161"/>
      <c r="B439" s="162" t="s">
        <v>32</v>
      </c>
      <c r="C439" s="239"/>
      <c r="D439" s="163"/>
      <c r="E439" s="51"/>
      <c r="F439" s="51">
        <v>6739</v>
      </c>
      <c r="G439" s="51">
        <v>47926.1</v>
      </c>
      <c r="H439" s="66">
        <f t="shared" si="72"/>
        <v>0</v>
      </c>
      <c r="I439" s="51"/>
      <c r="J439" s="301"/>
      <c r="K439" s="301">
        <v>2500</v>
      </c>
      <c r="L439" s="302"/>
      <c r="M439" s="301">
        <v>2500</v>
      </c>
      <c r="N439" s="166"/>
      <c r="O439" s="167"/>
      <c r="P439" s="167"/>
    </row>
    <row r="440" spans="1:16" s="38" customFormat="1">
      <c r="A440" s="161"/>
      <c r="B440" s="162" t="s">
        <v>33</v>
      </c>
      <c r="C440" s="239"/>
      <c r="D440" s="163"/>
      <c r="E440" s="51"/>
      <c r="F440" s="51">
        <v>6387.5</v>
      </c>
      <c r="G440" s="51">
        <v>48333.3</v>
      </c>
      <c r="H440" s="66">
        <f t="shared" si="72"/>
        <v>0</v>
      </c>
      <c r="I440" s="51"/>
      <c r="J440" s="301"/>
      <c r="K440" s="301">
        <v>48333.3</v>
      </c>
      <c r="L440" s="302"/>
      <c r="M440" s="301">
        <v>48333.3</v>
      </c>
      <c r="N440" s="166"/>
      <c r="O440" s="167"/>
      <c r="P440" s="167"/>
    </row>
    <row r="441" spans="1:16" s="20" customFormat="1" ht="46.5" customHeight="1">
      <c r="A441" s="68">
        <v>6</v>
      </c>
      <c r="B441" s="142" t="s">
        <v>328</v>
      </c>
      <c r="C441" s="241" t="s">
        <v>21</v>
      </c>
      <c r="D441" s="80" t="s">
        <v>22</v>
      </c>
      <c r="E441" s="80"/>
      <c r="F441" s="80"/>
      <c r="G441" s="140"/>
      <c r="H441" s="113"/>
      <c r="I441" s="113"/>
      <c r="J441" s="275"/>
      <c r="K441" s="299"/>
      <c r="L441" s="299"/>
      <c r="M441" s="275"/>
      <c r="N441" s="144"/>
      <c r="O441" s="145"/>
      <c r="P441" s="145"/>
    </row>
    <row r="442" spans="1:16" s="38" customFormat="1">
      <c r="A442" s="161"/>
      <c r="B442" s="162" t="s">
        <v>215</v>
      </c>
      <c r="C442" s="239"/>
      <c r="D442" s="163"/>
      <c r="E442" s="51"/>
      <c r="F442" s="51"/>
      <c r="G442" s="52"/>
      <c r="H442" s="66">
        <f t="shared" ref="H442:H447" si="73">I442+J442</f>
        <v>0</v>
      </c>
      <c r="I442" s="52"/>
      <c r="J442" s="303"/>
      <c r="K442" s="303"/>
      <c r="L442" s="302"/>
      <c r="M442" s="303"/>
      <c r="N442" s="166"/>
      <c r="O442" s="167"/>
      <c r="P442" s="167"/>
    </row>
    <row r="443" spans="1:16" s="2" customFormat="1">
      <c r="A443" s="161"/>
      <c r="B443" s="162" t="s">
        <v>216</v>
      </c>
      <c r="C443" s="239"/>
      <c r="D443" s="163"/>
      <c r="E443" s="51"/>
      <c r="F443" s="51"/>
      <c r="G443" s="51"/>
      <c r="H443" s="66">
        <f t="shared" si="73"/>
        <v>0</v>
      </c>
      <c r="I443" s="51"/>
      <c r="J443" s="301"/>
      <c r="K443" s="301"/>
      <c r="L443" s="304"/>
      <c r="M443" s="301"/>
      <c r="N443" s="168"/>
      <c r="O443" s="168"/>
      <c r="P443" s="168"/>
    </row>
    <row r="444" spans="1:16" s="3" customFormat="1">
      <c r="A444" s="161"/>
      <c r="B444" s="162" t="s">
        <v>217</v>
      </c>
      <c r="C444" s="239"/>
      <c r="D444" s="163"/>
      <c r="E444" s="51"/>
      <c r="F444" s="51"/>
      <c r="G444" s="51"/>
      <c r="H444" s="66">
        <f t="shared" si="73"/>
        <v>0</v>
      </c>
      <c r="I444" s="51"/>
      <c r="J444" s="301"/>
      <c r="K444" s="301">
        <v>7383.5</v>
      </c>
      <c r="L444" s="304"/>
      <c r="M444" s="301">
        <v>7383.5</v>
      </c>
      <c r="N444" s="168"/>
      <c r="O444" s="168"/>
      <c r="P444" s="168"/>
    </row>
    <row r="445" spans="1:16" s="3" customFormat="1">
      <c r="A445" s="161"/>
      <c r="B445" s="162" t="s">
        <v>31</v>
      </c>
      <c r="C445" s="239"/>
      <c r="D445" s="163"/>
      <c r="E445" s="51"/>
      <c r="F445" s="51"/>
      <c r="G445" s="51"/>
      <c r="H445" s="66">
        <f t="shared" si="73"/>
        <v>0</v>
      </c>
      <c r="I445" s="51"/>
      <c r="J445" s="301"/>
      <c r="K445" s="301"/>
      <c r="L445" s="304"/>
      <c r="M445" s="301"/>
      <c r="N445" s="168"/>
      <c r="O445" s="168"/>
      <c r="P445" s="168"/>
    </row>
    <row r="446" spans="1:16" s="3" customFormat="1">
      <c r="A446" s="161"/>
      <c r="B446" s="162" t="s">
        <v>32</v>
      </c>
      <c r="C446" s="239"/>
      <c r="D446" s="163"/>
      <c r="E446" s="51"/>
      <c r="F446" s="51"/>
      <c r="G446" s="51"/>
      <c r="H446" s="66">
        <f t="shared" si="73"/>
        <v>0</v>
      </c>
      <c r="I446" s="51"/>
      <c r="J446" s="301"/>
      <c r="K446" s="301"/>
      <c r="L446" s="304"/>
      <c r="M446" s="301"/>
      <c r="N446" s="168"/>
      <c r="O446" s="168"/>
      <c r="P446" s="168"/>
    </row>
    <row r="447" spans="1:16" s="3" customFormat="1">
      <c r="A447" s="161"/>
      <c r="B447" s="162" t="s">
        <v>33</v>
      </c>
      <c r="C447" s="239"/>
      <c r="D447" s="163"/>
      <c r="E447" s="51"/>
      <c r="F447" s="51"/>
      <c r="G447" s="51"/>
      <c r="H447" s="66">
        <f t="shared" si="73"/>
        <v>0</v>
      </c>
      <c r="I447" s="51"/>
      <c r="J447" s="301"/>
      <c r="K447" s="301"/>
      <c r="L447" s="304"/>
      <c r="M447" s="301"/>
      <c r="N447" s="168"/>
      <c r="O447" s="168"/>
      <c r="P447" s="168"/>
    </row>
    <row r="448" spans="1:16" s="20" customFormat="1" ht="51">
      <c r="A448" s="68">
        <v>7</v>
      </c>
      <c r="B448" s="142" t="s">
        <v>90</v>
      </c>
      <c r="C448" s="241" t="s">
        <v>21</v>
      </c>
      <c r="D448" s="80" t="s">
        <v>57</v>
      </c>
      <c r="E448" s="80">
        <v>11682.7</v>
      </c>
      <c r="F448" s="80">
        <v>11682.7</v>
      </c>
      <c r="G448" s="140"/>
      <c r="H448" s="113"/>
      <c r="I448" s="113"/>
      <c r="J448" s="275"/>
      <c r="K448" s="299"/>
      <c r="L448" s="299"/>
      <c r="M448" s="275"/>
      <c r="N448" s="144"/>
      <c r="O448" s="145"/>
      <c r="P448" s="145"/>
    </row>
    <row r="449" spans="1:16" s="3" customFormat="1">
      <c r="A449" s="161"/>
      <c r="B449" s="162" t="s">
        <v>215</v>
      </c>
      <c r="C449" s="239"/>
      <c r="D449" s="163"/>
      <c r="E449" s="51"/>
      <c r="F449" s="51"/>
      <c r="G449" s="51"/>
      <c r="H449" s="66">
        <f t="shared" ref="H449:H454" si="74">I449+J449</f>
        <v>0</v>
      </c>
      <c r="I449" s="51"/>
      <c r="J449" s="301"/>
      <c r="K449" s="301"/>
      <c r="L449" s="304"/>
      <c r="M449" s="301"/>
      <c r="N449" s="168"/>
      <c r="O449" s="168"/>
      <c r="P449" s="168"/>
    </row>
    <row r="450" spans="1:16" s="3" customFormat="1">
      <c r="A450" s="161"/>
      <c r="B450" s="162" t="s">
        <v>216</v>
      </c>
      <c r="C450" s="239"/>
      <c r="D450" s="163"/>
      <c r="E450" s="51"/>
      <c r="F450" s="51"/>
      <c r="G450" s="51"/>
      <c r="H450" s="66">
        <f t="shared" si="74"/>
        <v>0</v>
      </c>
      <c r="I450" s="51"/>
      <c r="J450" s="301"/>
      <c r="K450" s="301"/>
      <c r="L450" s="304"/>
      <c r="M450" s="301"/>
      <c r="N450" s="168"/>
      <c r="O450" s="168"/>
      <c r="P450" s="168"/>
    </row>
    <row r="451" spans="1:16" s="3" customFormat="1">
      <c r="A451" s="161"/>
      <c r="B451" s="162" t="s">
        <v>217</v>
      </c>
      <c r="C451" s="239"/>
      <c r="D451" s="163"/>
      <c r="E451" s="51"/>
      <c r="F451" s="51"/>
      <c r="G451" s="51"/>
      <c r="H451" s="66">
        <f t="shared" si="74"/>
        <v>0</v>
      </c>
      <c r="I451" s="51"/>
      <c r="J451" s="301"/>
      <c r="K451" s="301"/>
      <c r="L451" s="304"/>
      <c r="M451" s="301"/>
      <c r="N451" s="168"/>
      <c r="O451" s="168"/>
      <c r="P451" s="168"/>
    </row>
    <row r="452" spans="1:16" s="3" customFormat="1">
      <c r="A452" s="161"/>
      <c r="B452" s="162" t="s">
        <v>31</v>
      </c>
      <c r="C452" s="239"/>
      <c r="D452" s="163"/>
      <c r="E452" s="51"/>
      <c r="F452" s="51"/>
      <c r="G452" s="51"/>
      <c r="H452" s="66">
        <f t="shared" si="74"/>
        <v>0</v>
      </c>
      <c r="I452" s="51"/>
      <c r="J452" s="301"/>
      <c r="K452" s="301"/>
      <c r="L452" s="304"/>
      <c r="M452" s="301"/>
      <c r="N452" s="168"/>
      <c r="O452" s="168"/>
      <c r="P452" s="168"/>
    </row>
    <row r="453" spans="1:16" s="3" customFormat="1">
      <c r="A453" s="161"/>
      <c r="B453" s="162" t="s">
        <v>32</v>
      </c>
      <c r="C453" s="239"/>
      <c r="D453" s="163"/>
      <c r="E453" s="51"/>
      <c r="F453" s="51">
        <v>11682.7</v>
      </c>
      <c r="G453" s="51">
        <v>83084.399999999994</v>
      </c>
      <c r="H453" s="66">
        <f t="shared" si="74"/>
        <v>0</v>
      </c>
      <c r="I453" s="51"/>
      <c r="J453" s="301"/>
      <c r="K453" s="301">
        <v>8343.1</v>
      </c>
      <c r="L453" s="304"/>
      <c r="M453" s="301">
        <v>8343.1</v>
      </c>
      <c r="N453" s="168"/>
      <c r="O453" s="168"/>
      <c r="P453" s="168"/>
    </row>
    <row r="454" spans="1:16" s="3" customFormat="1">
      <c r="A454" s="161"/>
      <c r="B454" s="162" t="s">
        <v>33</v>
      </c>
      <c r="C454" s="239"/>
      <c r="D454" s="163"/>
      <c r="E454" s="51"/>
      <c r="F454" s="51"/>
      <c r="G454" s="51"/>
      <c r="H454" s="66">
        <f t="shared" si="74"/>
        <v>0</v>
      </c>
      <c r="I454" s="51"/>
      <c r="J454" s="301"/>
      <c r="K454" s="301"/>
      <c r="L454" s="304"/>
      <c r="M454" s="301"/>
      <c r="N454" s="168"/>
      <c r="O454" s="168"/>
      <c r="P454" s="168"/>
    </row>
    <row r="455" spans="1:16" s="20" customFormat="1" ht="51">
      <c r="A455" s="68">
        <v>8</v>
      </c>
      <c r="B455" s="142" t="s">
        <v>372</v>
      </c>
      <c r="C455" s="241" t="s">
        <v>21</v>
      </c>
      <c r="D455" s="80" t="s">
        <v>287</v>
      </c>
      <c r="E455" s="80">
        <v>14461.2</v>
      </c>
      <c r="F455" s="80">
        <v>5170.6000000000004</v>
      </c>
      <c r="G455" s="140"/>
      <c r="H455" s="113"/>
      <c r="I455" s="113"/>
      <c r="J455" s="275"/>
      <c r="K455" s="299"/>
      <c r="L455" s="299"/>
      <c r="M455" s="275"/>
      <c r="N455" s="144"/>
      <c r="O455" s="145"/>
      <c r="P455" s="145"/>
    </row>
    <row r="456" spans="1:16" s="3" customFormat="1">
      <c r="A456" s="161"/>
      <c r="B456" s="162" t="s">
        <v>215</v>
      </c>
      <c r="C456" s="239"/>
      <c r="D456" s="163"/>
      <c r="E456" s="51"/>
      <c r="F456" s="51"/>
      <c r="G456" s="51"/>
      <c r="H456" s="66">
        <f t="shared" ref="H456:H461" si="75">I456+J456</f>
        <v>0</v>
      </c>
      <c r="I456" s="51"/>
      <c r="J456" s="301"/>
      <c r="K456" s="301"/>
      <c r="L456" s="304"/>
      <c r="M456" s="301"/>
      <c r="N456" s="168"/>
      <c r="O456" s="168"/>
      <c r="P456" s="168"/>
    </row>
    <row r="457" spans="1:16" s="3" customFormat="1">
      <c r="A457" s="161"/>
      <c r="B457" s="162" t="s">
        <v>216</v>
      </c>
      <c r="C457" s="239"/>
      <c r="D457" s="163"/>
      <c r="E457" s="51"/>
      <c r="F457" s="51"/>
      <c r="G457" s="164"/>
      <c r="H457" s="66">
        <f t="shared" si="75"/>
        <v>0</v>
      </c>
      <c r="I457" s="51"/>
      <c r="J457" s="301"/>
      <c r="K457" s="301"/>
      <c r="L457" s="304"/>
      <c r="M457" s="301"/>
      <c r="N457" s="168"/>
      <c r="O457" s="168"/>
      <c r="P457" s="168"/>
    </row>
    <row r="458" spans="1:16" s="3" customFormat="1">
      <c r="A458" s="161"/>
      <c r="B458" s="162" t="s">
        <v>217</v>
      </c>
      <c r="C458" s="239"/>
      <c r="D458" s="163"/>
      <c r="E458" s="51"/>
      <c r="F458" s="51"/>
      <c r="G458" s="164"/>
      <c r="H458" s="66">
        <f t="shared" si="75"/>
        <v>0</v>
      </c>
      <c r="I458" s="51"/>
      <c r="J458" s="301"/>
      <c r="K458" s="301"/>
      <c r="L458" s="304"/>
      <c r="M458" s="301"/>
      <c r="N458" s="168"/>
      <c r="O458" s="168"/>
      <c r="P458" s="168"/>
    </row>
    <row r="459" spans="1:16" s="3" customFormat="1">
      <c r="A459" s="161"/>
      <c r="B459" s="162" t="s">
        <v>31</v>
      </c>
      <c r="C459" s="239"/>
      <c r="D459" s="163"/>
      <c r="E459" s="169"/>
      <c r="F459" s="51"/>
      <c r="G459" s="164"/>
      <c r="H459" s="66">
        <f t="shared" si="75"/>
        <v>0</v>
      </c>
      <c r="I459" s="51"/>
      <c r="J459" s="301"/>
      <c r="K459" s="301"/>
      <c r="L459" s="304"/>
      <c r="M459" s="301"/>
      <c r="N459" s="168"/>
      <c r="O459" s="168"/>
      <c r="P459" s="168"/>
    </row>
    <row r="460" spans="1:16" s="3" customFormat="1">
      <c r="A460" s="161"/>
      <c r="B460" s="162" t="s">
        <v>32</v>
      </c>
      <c r="C460" s="239"/>
      <c r="D460" s="163"/>
      <c r="E460" s="169"/>
      <c r="F460" s="51">
        <v>5170.6000000000004</v>
      </c>
      <c r="G460" s="164">
        <v>36772.199999999997</v>
      </c>
      <c r="H460" s="66">
        <f t="shared" si="75"/>
        <v>12900</v>
      </c>
      <c r="I460" s="51"/>
      <c r="J460" s="301">
        <v>12900</v>
      </c>
      <c r="K460" s="301"/>
      <c r="L460" s="304"/>
      <c r="M460" s="301"/>
      <c r="N460" s="168"/>
      <c r="O460" s="168"/>
      <c r="P460" s="168"/>
    </row>
    <row r="461" spans="1:16" s="3" customFormat="1">
      <c r="A461" s="161"/>
      <c r="B461" s="162" t="s">
        <v>33</v>
      </c>
      <c r="C461" s="239"/>
      <c r="D461" s="163"/>
      <c r="E461" s="169"/>
      <c r="F461" s="51">
        <v>3356.7</v>
      </c>
      <c r="G461" s="164">
        <v>25400</v>
      </c>
      <c r="H461" s="66">
        <f t="shared" si="75"/>
        <v>25400</v>
      </c>
      <c r="I461" s="51"/>
      <c r="J461" s="301">
        <v>25400</v>
      </c>
      <c r="K461" s="301"/>
      <c r="L461" s="304"/>
      <c r="M461" s="301"/>
      <c r="N461" s="168"/>
      <c r="O461" s="168"/>
      <c r="P461" s="168"/>
    </row>
    <row r="462" spans="1:16" s="20" customFormat="1" ht="38.25">
      <c r="A462" s="68">
        <v>9</v>
      </c>
      <c r="B462" s="142" t="s">
        <v>339</v>
      </c>
      <c r="C462" s="241" t="s">
        <v>21</v>
      </c>
      <c r="D462" s="80" t="s">
        <v>57</v>
      </c>
      <c r="E462" s="80">
        <v>34307.4</v>
      </c>
      <c r="F462" s="80">
        <v>34307.4</v>
      </c>
      <c r="G462" s="140"/>
      <c r="H462" s="113"/>
      <c r="I462" s="113"/>
      <c r="J462" s="275"/>
      <c r="K462" s="299"/>
      <c r="L462" s="299"/>
      <c r="M462" s="275"/>
      <c r="N462" s="144"/>
      <c r="O462" s="145"/>
      <c r="P462" s="145"/>
    </row>
    <row r="463" spans="1:16" s="3" customFormat="1">
      <c r="A463" s="161"/>
      <c r="B463" s="162" t="s">
        <v>215</v>
      </c>
      <c r="C463" s="60"/>
      <c r="D463" s="170"/>
      <c r="E463" s="53"/>
      <c r="F463" s="53"/>
      <c r="G463" s="53"/>
      <c r="H463" s="66">
        <f t="shared" ref="H463:H468" si="76">I463+J463</f>
        <v>0</v>
      </c>
      <c r="I463" s="53"/>
      <c r="J463" s="305"/>
      <c r="K463" s="305"/>
      <c r="L463" s="304"/>
      <c r="M463" s="305"/>
      <c r="N463" s="168"/>
      <c r="O463" s="168"/>
      <c r="P463" s="168"/>
    </row>
    <row r="464" spans="1:16" s="3" customFormat="1">
      <c r="A464" s="161"/>
      <c r="B464" s="162" t="s">
        <v>216</v>
      </c>
      <c r="C464" s="60"/>
      <c r="D464" s="170"/>
      <c r="E464" s="53"/>
      <c r="F464" s="53"/>
      <c r="G464" s="53"/>
      <c r="H464" s="66">
        <f t="shared" si="76"/>
        <v>0</v>
      </c>
      <c r="I464" s="53"/>
      <c r="J464" s="305"/>
      <c r="K464" s="305"/>
      <c r="L464" s="304"/>
      <c r="M464" s="305"/>
      <c r="N464" s="168"/>
      <c r="O464" s="168"/>
      <c r="P464" s="168"/>
    </row>
    <row r="465" spans="1:16" s="3" customFormat="1">
      <c r="A465" s="161"/>
      <c r="B465" s="162" t="s">
        <v>217</v>
      </c>
      <c r="C465" s="60"/>
      <c r="D465" s="170"/>
      <c r="E465" s="53"/>
      <c r="F465" s="51"/>
      <c r="G465" s="164"/>
      <c r="H465" s="66">
        <f t="shared" si="76"/>
        <v>0</v>
      </c>
      <c r="I465" s="51"/>
      <c r="J465" s="301"/>
      <c r="K465" s="301">
        <v>19356</v>
      </c>
      <c r="L465" s="304"/>
      <c r="M465" s="301">
        <v>19356</v>
      </c>
      <c r="N465" s="168"/>
      <c r="O465" s="168"/>
      <c r="P465" s="168"/>
    </row>
    <row r="466" spans="1:16" s="3" customFormat="1">
      <c r="A466" s="161"/>
      <c r="B466" s="162" t="s">
        <v>31</v>
      </c>
      <c r="C466" s="60"/>
      <c r="D466" s="170"/>
      <c r="E466" s="53"/>
      <c r="F466" s="51"/>
      <c r="G466" s="164"/>
      <c r="H466" s="66">
        <f t="shared" si="76"/>
        <v>0</v>
      </c>
      <c r="I466" s="51"/>
      <c r="J466" s="301"/>
      <c r="K466" s="301"/>
      <c r="L466" s="304"/>
      <c r="M466" s="301"/>
      <c r="N466" s="168"/>
      <c r="O466" s="168"/>
      <c r="P466" s="168"/>
    </row>
    <row r="467" spans="1:16" s="3" customFormat="1">
      <c r="A467" s="161"/>
      <c r="B467" s="162" t="s">
        <v>32</v>
      </c>
      <c r="C467" s="60"/>
      <c r="D467" s="170"/>
      <c r="E467" s="53"/>
      <c r="F467" s="51"/>
      <c r="G467" s="164"/>
      <c r="H467" s="66">
        <f t="shared" si="76"/>
        <v>0</v>
      </c>
      <c r="I467" s="51"/>
      <c r="J467" s="301"/>
      <c r="K467" s="301"/>
      <c r="L467" s="304"/>
      <c r="M467" s="301"/>
      <c r="N467" s="168"/>
      <c r="O467" s="168"/>
      <c r="P467" s="168"/>
    </row>
    <row r="468" spans="1:16" s="3" customFormat="1">
      <c r="A468" s="161"/>
      <c r="B468" s="162" t="s">
        <v>33</v>
      </c>
      <c r="C468" s="60"/>
      <c r="D468" s="170"/>
      <c r="E468" s="53"/>
      <c r="F468" s="53"/>
      <c r="G468" s="53"/>
      <c r="H468" s="66">
        <f t="shared" si="76"/>
        <v>0</v>
      </c>
      <c r="I468" s="53"/>
      <c r="J468" s="305"/>
      <c r="K468" s="305"/>
      <c r="L468" s="304"/>
      <c r="M468" s="305"/>
      <c r="N468" s="168"/>
      <c r="O468" s="168"/>
      <c r="P468" s="168"/>
    </row>
    <row r="469" spans="1:16" s="20" customFormat="1" ht="38.25">
      <c r="A469" s="354">
        <v>10</v>
      </c>
      <c r="B469" s="355" t="s">
        <v>373</v>
      </c>
      <c r="C469" s="241" t="s">
        <v>21</v>
      </c>
      <c r="D469" s="80" t="s">
        <v>57</v>
      </c>
      <c r="E469" s="80"/>
      <c r="F469" s="80"/>
      <c r="G469" s="140"/>
      <c r="H469" s="113"/>
      <c r="I469" s="113"/>
      <c r="J469" s="275"/>
      <c r="K469" s="299"/>
      <c r="L469" s="299"/>
      <c r="M469" s="275"/>
      <c r="N469" s="144"/>
      <c r="O469" s="145"/>
      <c r="P469" s="145"/>
    </row>
    <row r="470" spans="1:16" s="3" customFormat="1">
      <c r="A470" s="161"/>
      <c r="B470" s="162" t="s">
        <v>215</v>
      </c>
      <c r="C470" s="239"/>
      <c r="D470" s="163"/>
      <c r="E470" s="169"/>
      <c r="F470" s="169"/>
      <c r="G470" s="51"/>
      <c r="H470" s="66">
        <f t="shared" ref="H470:H517" si="77">I470+J470</f>
        <v>0</v>
      </c>
      <c r="I470" s="51"/>
      <c r="J470" s="306"/>
      <c r="K470" s="306"/>
      <c r="L470" s="304"/>
      <c r="M470" s="301"/>
      <c r="N470" s="168"/>
      <c r="O470" s="168"/>
      <c r="P470" s="168"/>
    </row>
    <row r="471" spans="1:16" s="3" customFormat="1">
      <c r="A471" s="161"/>
      <c r="B471" s="162" t="s">
        <v>216</v>
      </c>
      <c r="C471" s="239"/>
      <c r="D471" s="163"/>
      <c r="E471" s="169"/>
      <c r="F471" s="169"/>
      <c r="G471" s="51"/>
      <c r="H471" s="66">
        <f t="shared" si="77"/>
        <v>0</v>
      </c>
      <c r="I471" s="51"/>
      <c r="J471" s="306"/>
      <c r="K471" s="306"/>
      <c r="L471" s="304"/>
      <c r="M471" s="301"/>
      <c r="N471" s="168"/>
      <c r="O471" s="168"/>
      <c r="P471" s="168"/>
    </row>
    <row r="472" spans="1:16" s="3" customFormat="1">
      <c r="A472" s="161"/>
      <c r="B472" s="162" t="s">
        <v>217</v>
      </c>
      <c r="C472" s="239"/>
      <c r="D472" s="163"/>
      <c r="E472" s="169"/>
      <c r="F472" s="169"/>
      <c r="G472" s="51"/>
      <c r="H472" s="66">
        <f t="shared" si="77"/>
        <v>0</v>
      </c>
      <c r="I472" s="51"/>
      <c r="J472" s="307"/>
      <c r="K472" s="307"/>
      <c r="L472" s="304"/>
      <c r="M472" s="301"/>
      <c r="N472" s="168"/>
      <c r="O472" s="168"/>
      <c r="P472" s="168"/>
    </row>
    <row r="473" spans="1:16" s="3" customFormat="1">
      <c r="A473" s="161"/>
      <c r="B473" s="162" t="s">
        <v>31</v>
      </c>
      <c r="C473" s="239"/>
      <c r="D473" s="163"/>
      <c r="E473" s="169"/>
      <c r="F473" s="169"/>
      <c r="G473" s="51"/>
      <c r="H473" s="66">
        <f t="shared" si="77"/>
        <v>0</v>
      </c>
      <c r="I473" s="171"/>
      <c r="J473" s="301"/>
      <c r="K473" s="308"/>
      <c r="L473" s="304"/>
      <c r="M473" s="301"/>
      <c r="N473" s="168"/>
      <c r="O473" s="168"/>
      <c r="P473" s="168"/>
    </row>
    <row r="474" spans="1:16" s="3" customFormat="1">
      <c r="A474" s="161"/>
      <c r="B474" s="162" t="s">
        <v>329</v>
      </c>
      <c r="C474" s="239"/>
      <c r="D474" s="163"/>
      <c r="E474" s="169"/>
      <c r="F474" s="169"/>
      <c r="G474" s="51"/>
      <c r="H474" s="66">
        <f t="shared" si="77"/>
        <v>0</v>
      </c>
      <c r="I474" s="171"/>
      <c r="J474" s="301"/>
      <c r="K474" s="309"/>
      <c r="L474" s="304"/>
      <c r="M474" s="301"/>
      <c r="N474" s="168"/>
      <c r="O474" s="168"/>
      <c r="P474" s="168"/>
    </row>
    <row r="475" spans="1:16" s="3" customFormat="1">
      <c r="A475" s="161"/>
      <c r="B475" s="162" t="s">
        <v>330</v>
      </c>
      <c r="C475" s="239"/>
      <c r="D475" s="163"/>
      <c r="E475" s="169"/>
      <c r="F475" s="169"/>
      <c r="G475" s="51"/>
      <c r="H475" s="66">
        <f t="shared" si="77"/>
        <v>2000</v>
      </c>
      <c r="I475" s="171"/>
      <c r="J475" s="301">
        <v>2000</v>
      </c>
      <c r="K475" s="308"/>
      <c r="L475" s="304">
        <v>298700</v>
      </c>
      <c r="M475" s="301"/>
      <c r="N475" s="168"/>
      <c r="O475" s="168"/>
      <c r="P475" s="168"/>
    </row>
    <row r="476" spans="1:16" s="20" customFormat="1" ht="38.25">
      <c r="A476" s="68">
        <v>11</v>
      </c>
      <c r="B476" s="142" t="s">
        <v>331</v>
      </c>
      <c r="C476" s="241" t="s">
        <v>21</v>
      </c>
      <c r="D476" s="80" t="s">
        <v>57</v>
      </c>
      <c r="E476" s="80"/>
      <c r="F476" s="80"/>
      <c r="G476" s="140">
        <v>57556</v>
      </c>
      <c r="H476" s="113"/>
      <c r="I476" s="113"/>
      <c r="J476" s="275"/>
      <c r="K476" s="299"/>
      <c r="L476" s="299"/>
      <c r="M476" s="275"/>
      <c r="N476" s="144"/>
      <c r="O476" s="145"/>
      <c r="P476" s="145"/>
    </row>
    <row r="477" spans="1:16" s="3" customFormat="1">
      <c r="A477" s="161"/>
      <c r="B477" s="162" t="s">
        <v>215</v>
      </c>
      <c r="C477" s="239"/>
      <c r="D477" s="163"/>
      <c r="E477" s="51"/>
      <c r="F477" s="51"/>
      <c r="G477" s="51"/>
      <c r="H477" s="66">
        <f t="shared" si="77"/>
        <v>0</v>
      </c>
      <c r="I477" s="51"/>
      <c r="J477" s="301"/>
      <c r="K477" s="301"/>
      <c r="L477" s="304"/>
      <c r="M477" s="301"/>
      <c r="N477" s="168"/>
      <c r="O477" s="168"/>
      <c r="P477" s="168"/>
    </row>
    <row r="478" spans="1:16" s="21" customFormat="1">
      <c r="A478" s="161"/>
      <c r="B478" s="162" t="s">
        <v>216</v>
      </c>
      <c r="C478" s="239"/>
      <c r="D478" s="163"/>
      <c r="E478" s="51"/>
      <c r="F478" s="51"/>
      <c r="G478" s="165"/>
      <c r="H478" s="66">
        <f t="shared" si="77"/>
        <v>0</v>
      </c>
      <c r="I478" s="51"/>
      <c r="J478" s="301"/>
      <c r="K478" s="301"/>
      <c r="L478" s="304"/>
      <c r="M478" s="301"/>
      <c r="N478" s="172"/>
      <c r="O478" s="173"/>
      <c r="P478" s="173"/>
    </row>
    <row r="479" spans="1:16" s="21" customFormat="1">
      <c r="A479" s="161"/>
      <c r="B479" s="162" t="s">
        <v>217</v>
      </c>
      <c r="C479" s="239"/>
      <c r="D479" s="163"/>
      <c r="E479" s="51"/>
      <c r="F479" s="51"/>
      <c r="G479" s="165"/>
      <c r="H479" s="66">
        <f t="shared" si="77"/>
        <v>0</v>
      </c>
      <c r="I479" s="51"/>
      <c r="J479" s="301"/>
      <c r="K479" s="301"/>
      <c r="L479" s="304"/>
      <c r="M479" s="301"/>
      <c r="N479" s="172"/>
      <c r="O479" s="173"/>
      <c r="P479" s="173"/>
    </row>
    <row r="480" spans="1:16" s="21" customFormat="1">
      <c r="A480" s="161"/>
      <c r="B480" s="162" t="s">
        <v>31</v>
      </c>
      <c r="C480" s="239"/>
      <c r="D480" s="163"/>
      <c r="E480" s="51"/>
      <c r="F480" s="51"/>
      <c r="G480" s="51"/>
      <c r="H480" s="66">
        <f t="shared" si="77"/>
        <v>0</v>
      </c>
      <c r="I480" s="51"/>
      <c r="J480" s="310"/>
      <c r="K480" s="301"/>
      <c r="L480" s="304"/>
      <c r="M480" s="301"/>
      <c r="N480" s="172"/>
      <c r="O480" s="173"/>
      <c r="P480" s="173"/>
    </row>
    <row r="481" spans="1:16" s="21" customFormat="1">
      <c r="A481" s="161"/>
      <c r="B481" s="162" t="s">
        <v>32</v>
      </c>
      <c r="C481" s="239"/>
      <c r="D481" s="163"/>
      <c r="E481" s="51"/>
      <c r="F481" s="51"/>
      <c r="G481" s="51"/>
      <c r="H481" s="66">
        <f t="shared" si="77"/>
        <v>0</v>
      </c>
      <c r="I481" s="171"/>
      <c r="J481" s="301"/>
      <c r="K481" s="311">
        <v>8343.1</v>
      </c>
      <c r="L481" s="304"/>
      <c r="M481" s="301">
        <v>8343.1</v>
      </c>
      <c r="N481" s="172"/>
      <c r="O481" s="173"/>
      <c r="P481" s="173"/>
    </row>
    <row r="482" spans="1:16" s="3" customFormat="1">
      <c r="A482" s="161"/>
      <c r="B482" s="162" t="s">
        <v>33</v>
      </c>
      <c r="C482" s="239"/>
      <c r="D482" s="163"/>
      <c r="E482" s="51"/>
      <c r="F482" s="51"/>
      <c r="G482" s="51"/>
      <c r="H482" s="66">
        <f t="shared" si="77"/>
        <v>0</v>
      </c>
      <c r="I482" s="51"/>
      <c r="J482" s="312"/>
      <c r="K482" s="301"/>
      <c r="L482" s="304"/>
      <c r="M482" s="301"/>
      <c r="N482" s="168"/>
      <c r="O482" s="168"/>
      <c r="P482" s="168"/>
    </row>
    <row r="483" spans="1:16" s="20" customFormat="1" ht="38.25">
      <c r="A483" s="68">
        <v>12</v>
      </c>
      <c r="B483" s="142" t="s">
        <v>332</v>
      </c>
      <c r="C483" s="241" t="s">
        <v>21</v>
      </c>
      <c r="D483" s="80" t="s">
        <v>27</v>
      </c>
      <c r="E483" s="80"/>
      <c r="F483" s="80"/>
      <c r="G483" s="140">
        <v>121227.08</v>
      </c>
      <c r="H483" s="113"/>
      <c r="I483" s="113"/>
      <c r="J483" s="275"/>
      <c r="K483" s="299"/>
      <c r="L483" s="299"/>
      <c r="M483" s="275"/>
      <c r="N483" s="144"/>
      <c r="O483" s="145"/>
      <c r="P483" s="145"/>
    </row>
    <row r="484" spans="1:16" s="32" customFormat="1" ht="17.25" customHeight="1">
      <c r="A484" s="161"/>
      <c r="B484" s="162" t="s">
        <v>215</v>
      </c>
      <c r="C484" s="239"/>
      <c r="D484" s="163"/>
      <c r="E484" s="51"/>
      <c r="F484" s="51"/>
      <c r="G484" s="165"/>
      <c r="H484" s="66">
        <f t="shared" si="77"/>
        <v>0</v>
      </c>
      <c r="I484" s="51"/>
      <c r="J484" s="301"/>
      <c r="K484" s="301"/>
      <c r="L484" s="272"/>
      <c r="M484" s="301"/>
    </row>
    <row r="485" spans="1:16" s="32" customFormat="1">
      <c r="A485" s="161"/>
      <c r="B485" s="162" t="s">
        <v>216</v>
      </c>
      <c r="C485" s="239"/>
      <c r="D485" s="163"/>
      <c r="E485" s="51"/>
      <c r="F485" s="51"/>
      <c r="G485" s="165"/>
      <c r="H485" s="66">
        <f t="shared" si="77"/>
        <v>0</v>
      </c>
      <c r="I485" s="51"/>
      <c r="J485" s="301"/>
      <c r="K485" s="301"/>
      <c r="L485" s="272"/>
      <c r="M485" s="301"/>
      <c r="N485" s="33"/>
    </row>
    <row r="486" spans="1:16" s="32" customFormat="1">
      <c r="A486" s="161"/>
      <c r="B486" s="162" t="s">
        <v>217</v>
      </c>
      <c r="C486" s="239"/>
      <c r="D486" s="163"/>
      <c r="E486" s="51"/>
      <c r="F486" s="51"/>
      <c r="G486" s="165"/>
      <c r="H486" s="66">
        <f t="shared" si="77"/>
        <v>0</v>
      </c>
      <c r="I486" s="51"/>
      <c r="J486" s="310"/>
      <c r="K486" s="301">
        <v>12123</v>
      </c>
      <c r="L486" s="272"/>
      <c r="M486" s="301">
        <v>12123</v>
      </c>
    </row>
    <row r="487" spans="1:16" s="32" customFormat="1">
      <c r="A487" s="161"/>
      <c r="B487" s="162" t="s">
        <v>31</v>
      </c>
      <c r="C487" s="239"/>
      <c r="D487" s="163"/>
      <c r="E487" s="51"/>
      <c r="F487" s="51"/>
      <c r="G487" s="51"/>
      <c r="H487" s="66">
        <f t="shared" si="77"/>
        <v>0</v>
      </c>
      <c r="I487" s="171"/>
      <c r="J487" s="301"/>
      <c r="K487" s="301"/>
      <c r="L487" s="272"/>
      <c r="M487" s="301"/>
    </row>
    <row r="488" spans="1:16" s="18" customFormat="1">
      <c r="A488" s="161"/>
      <c r="B488" s="162" t="s">
        <v>32</v>
      </c>
      <c r="C488" s="239"/>
      <c r="D488" s="163"/>
      <c r="E488" s="51"/>
      <c r="F488" s="51"/>
      <c r="G488" s="51"/>
      <c r="H488" s="66">
        <f t="shared" si="77"/>
        <v>0</v>
      </c>
      <c r="I488" s="51"/>
      <c r="J488" s="312"/>
      <c r="K488" s="301"/>
      <c r="L488" s="272">
        <f>K544-J544</f>
        <v>557100</v>
      </c>
      <c r="M488" s="301"/>
      <c r="N488" s="109"/>
      <c r="O488" s="108"/>
      <c r="P488" s="108"/>
    </row>
    <row r="489" spans="1:16" s="18" customFormat="1">
      <c r="A489" s="161"/>
      <c r="B489" s="162" t="s">
        <v>33</v>
      </c>
      <c r="C489" s="239"/>
      <c r="D489" s="163"/>
      <c r="E489" s="51"/>
      <c r="F489" s="51"/>
      <c r="G489" s="51"/>
      <c r="H489" s="66">
        <f t="shared" si="77"/>
        <v>0</v>
      </c>
      <c r="I489" s="51"/>
      <c r="J489" s="301"/>
      <c r="K489" s="301"/>
      <c r="L489" s="272">
        <f>K545-J545</f>
        <v>594330.5</v>
      </c>
      <c r="M489" s="301"/>
      <c r="N489" s="109"/>
      <c r="O489" s="108"/>
      <c r="P489" s="108"/>
    </row>
    <row r="490" spans="1:16" s="20" customFormat="1" ht="51">
      <c r="A490" s="68">
        <v>13</v>
      </c>
      <c r="B490" s="142" t="s">
        <v>333</v>
      </c>
      <c r="C490" s="241" t="s">
        <v>21</v>
      </c>
      <c r="D490" s="80" t="s">
        <v>22</v>
      </c>
      <c r="E490" s="80"/>
      <c r="F490" s="80"/>
      <c r="G490" s="140">
        <v>32300</v>
      </c>
      <c r="H490" s="113"/>
      <c r="I490" s="113"/>
      <c r="J490" s="275"/>
      <c r="K490" s="299"/>
      <c r="L490" s="299"/>
      <c r="M490" s="275"/>
      <c r="N490" s="144"/>
      <c r="O490" s="145"/>
      <c r="P490" s="145"/>
    </row>
    <row r="491" spans="1:16" s="3" customFormat="1">
      <c r="A491" s="161"/>
      <c r="B491" s="162" t="s">
        <v>215</v>
      </c>
      <c r="C491" s="239"/>
      <c r="D491" s="163"/>
      <c r="E491" s="51"/>
      <c r="F491" s="51"/>
      <c r="G491" s="165"/>
      <c r="H491" s="66">
        <f t="shared" si="77"/>
        <v>0</v>
      </c>
      <c r="I491" s="51"/>
      <c r="J491" s="307"/>
      <c r="K491" s="301"/>
      <c r="L491" s="304"/>
      <c r="M491" s="301"/>
      <c r="N491" s="168"/>
      <c r="O491" s="168"/>
      <c r="P491" s="168"/>
    </row>
    <row r="492" spans="1:16" s="21" customFormat="1" ht="15" customHeight="1">
      <c r="A492" s="161"/>
      <c r="B492" s="162" t="s">
        <v>216</v>
      </c>
      <c r="C492" s="239"/>
      <c r="D492" s="163"/>
      <c r="E492" s="51"/>
      <c r="F492" s="51"/>
      <c r="G492" s="165"/>
      <c r="H492" s="66">
        <f t="shared" si="77"/>
        <v>0</v>
      </c>
      <c r="I492" s="171"/>
      <c r="J492" s="301"/>
      <c r="K492" s="301"/>
      <c r="L492" s="313"/>
      <c r="M492" s="301"/>
      <c r="N492" s="172"/>
      <c r="O492" s="173"/>
      <c r="P492" s="173"/>
    </row>
    <row r="493" spans="1:16" s="21" customFormat="1">
      <c r="A493" s="161"/>
      <c r="B493" s="162" t="s">
        <v>217</v>
      </c>
      <c r="C493" s="239"/>
      <c r="D493" s="163"/>
      <c r="E493" s="51"/>
      <c r="F493" s="51"/>
      <c r="G493" s="51"/>
      <c r="H493" s="66">
        <f t="shared" si="77"/>
        <v>0</v>
      </c>
      <c r="I493" s="51"/>
      <c r="J493" s="314"/>
      <c r="K493" s="301">
        <v>4143.6000000000004</v>
      </c>
      <c r="L493" s="304"/>
      <c r="M493" s="301">
        <v>4143.6000000000004</v>
      </c>
      <c r="N493" s="172"/>
      <c r="O493" s="173"/>
      <c r="P493" s="173"/>
    </row>
    <row r="494" spans="1:16" s="21" customFormat="1">
      <c r="A494" s="161"/>
      <c r="B494" s="162" t="s">
        <v>31</v>
      </c>
      <c r="C494" s="239"/>
      <c r="D494" s="163"/>
      <c r="E494" s="51"/>
      <c r="F494" s="51"/>
      <c r="G494" s="51"/>
      <c r="H494" s="66">
        <f t="shared" si="77"/>
        <v>0</v>
      </c>
      <c r="I494" s="51"/>
      <c r="J494" s="301"/>
      <c r="K494" s="301"/>
      <c r="L494" s="313"/>
      <c r="M494" s="301"/>
      <c r="N494" s="172"/>
      <c r="O494" s="174"/>
      <c r="P494" s="173"/>
    </row>
    <row r="495" spans="1:16" s="21" customFormat="1">
      <c r="A495" s="161"/>
      <c r="B495" s="162" t="s">
        <v>32</v>
      </c>
      <c r="C495" s="239"/>
      <c r="D495" s="163"/>
      <c r="E495" s="51"/>
      <c r="F495" s="51"/>
      <c r="G495" s="51"/>
      <c r="H495" s="66">
        <f t="shared" si="77"/>
        <v>0</v>
      </c>
      <c r="I495" s="51"/>
      <c r="J495" s="301"/>
      <c r="K495" s="301"/>
      <c r="L495" s="313"/>
      <c r="M495" s="301"/>
      <c r="N495" s="172"/>
      <c r="O495" s="174"/>
      <c r="P495" s="173"/>
    </row>
    <row r="496" spans="1:16" s="3" customFormat="1">
      <c r="A496" s="161"/>
      <c r="B496" s="162" t="s">
        <v>33</v>
      </c>
      <c r="C496" s="239"/>
      <c r="D496" s="163"/>
      <c r="E496" s="51"/>
      <c r="F496" s="51"/>
      <c r="G496" s="51"/>
      <c r="H496" s="66">
        <f t="shared" si="77"/>
        <v>0</v>
      </c>
      <c r="I496" s="51"/>
      <c r="J496" s="301"/>
      <c r="K496" s="301"/>
      <c r="L496" s="304"/>
      <c r="M496" s="301"/>
      <c r="N496" s="168"/>
      <c r="O496" s="168"/>
      <c r="P496" s="168"/>
    </row>
    <row r="497" spans="1:16" s="20" customFormat="1" ht="38.25">
      <c r="A497" s="68">
        <v>14</v>
      </c>
      <c r="B497" s="142" t="s">
        <v>334</v>
      </c>
      <c r="C497" s="241" t="s">
        <v>21</v>
      </c>
      <c r="D497" s="80" t="s">
        <v>57</v>
      </c>
      <c r="E497" s="80"/>
      <c r="F497" s="80"/>
      <c r="G497" s="140"/>
      <c r="H497" s="113"/>
      <c r="I497" s="113"/>
      <c r="J497" s="275"/>
      <c r="K497" s="299"/>
      <c r="L497" s="299"/>
      <c r="M497" s="275"/>
      <c r="N497" s="144"/>
      <c r="O497" s="145"/>
      <c r="P497" s="145"/>
    </row>
    <row r="498" spans="1:16" s="3" customFormat="1">
      <c r="A498" s="161"/>
      <c r="B498" s="162" t="s">
        <v>215</v>
      </c>
      <c r="C498" s="239"/>
      <c r="D498" s="163"/>
      <c r="E498" s="51"/>
      <c r="F498" s="51"/>
      <c r="G498" s="51"/>
      <c r="H498" s="66">
        <f t="shared" si="77"/>
        <v>0</v>
      </c>
      <c r="I498" s="51"/>
      <c r="J498" s="301"/>
      <c r="K498" s="301"/>
      <c r="L498" s="304"/>
      <c r="M498" s="301"/>
      <c r="N498" s="168"/>
      <c r="O498" s="168"/>
      <c r="P498" s="168"/>
    </row>
    <row r="499" spans="1:16" s="21" customFormat="1">
      <c r="A499" s="161"/>
      <c r="B499" s="162" t="s">
        <v>216</v>
      </c>
      <c r="C499" s="239"/>
      <c r="D499" s="163"/>
      <c r="E499" s="51"/>
      <c r="F499" s="51"/>
      <c r="G499" s="165"/>
      <c r="H499" s="66">
        <f t="shared" si="77"/>
        <v>0</v>
      </c>
      <c r="I499" s="171"/>
      <c r="J499" s="301"/>
      <c r="K499" s="301"/>
      <c r="L499" s="313"/>
      <c r="M499" s="301"/>
      <c r="N499" s="172"/>
      <c r="O499" s="173"/>
      <c r="P499" s="173"/>
    </row>
    <row r="500" spans="1:16" s="21" customFormat="1">
      <c r="A500" s="161"/>
      <c r="B500" s="162" t="s">
        <v>217</v>
      </c>
      <c r="C500" s="239"/>
      <c r="D500" s="163"/>
      <c r="E500" s="51"/>
      <c r="F500" s="51"/>
      <c r="G500" s="165"/>
      <c r="H500" s="66">
        <f t="shared" si="77"/>
        <v>0</v>
      </c>
      <c r="I500" s="171"/>
      <c r="J500" s="301"/>
      <c r="K500" s="301"/>
      <c r="L500" s="304"/>
      <c r="M500" s="301"/>
      <c r="N500" s="172"/>
      <c r="O500" s="173"/>
      <c r="P500" s="173"/>
    </row>
    <row r="501" spans="1:16" s="20" customFormat="1">
      <c r="A501" s="161"/>
      <c r="B501" s="162" t="s">
        <v>31</v>
      </c>
      <c r="C501" s="239"/>
      <c r="D501" s="163"/>
      <c r="E501" s="51"/>
      <c r="F501" s="51"/>
      <c r="G501" s="165"/>
      <c r="H501" s="66">
        <f t="shared" si="77"/>
        <v>0</v>
      </c>
      <c r="I501" s="171"/>
      <c r="J501" s="301"/>
      <c r="K501" s="301">
        <v>26632</v>
      </c>
      <c r="L501" s="315"/>
      <c r="M501" s="301">
        <v>26632</v>
      </c>
      <c r="N501" s="144"/>
      <c r="O501" s="145"/>
      <c r="P501" s="145"/>
    </row>
    <row r="502" spans="1:16" s="20" customFormat="1">
      <c r="A502" s="161"/>
      <c r="B502" s="162" t="s">
        <v>32</v>
      </c>
      <c r="C502" s="239"/>
      <c r="D502" s="163"/>
      <c r="E502" s="51"/>
      <c r="F502" s="51"/>
      <c r="G502" s="51"/>
      <c r="H502" s="66">
        <f t="shared" si="77"/>
        <v>0</v>
      </c>
      <c r="I502" s="171"/>
      <c r="J502" s="301"/>
      <c r="K502" s="301"/>
      <c r="L502" s="315"/>
      <c r="M502" s="301"/>
      <c r="N502" s="144"/>
      <c r="O502" s="145"/>
      <c r="P502" s="145"/>
    </row>
    <row r="503" spans="1:16" s="20" customFormat="1">
      <c r="A503" s="161"/>
      <c r="B503" s="162" t="s">
        <v>33</v>
      </c>
      <c r="C503" s="239"/>
      <c r="D503" s="163"/>
      <c r="E503" s="51"/>
      <c r="F503" s="51"/>
      <c r="G503" s="51"/>
      <c r="H503" s="66">
        <f t="shared" si="77"/>
        <v>0</v>
      </c>
      <c r="I503" s="171"/>
      <c r="J503" s="301"/>
      <c r="K503" s="301"/>
      <c r="L503" s="315">
        <v>30000</v>
      </c>
      <c r="M503" s="301"/>
      <c r="N503" s="144"/>
      <c r="O503" s="145"/>
      <c r="P503" s="145"/>
    </row>
    <row r="504" spans="1:16" s="20" customFormat="1" ht="38.25">
      <c r="A504" s="68">
        <v>15</v>
      </c>
      <c r="B504" s="142" t="s">
        <v>335</v>
      </c>
      <c r="C504" s="241" t="s">
        <v>21</v>
      </c>
      <c r="D504" s="80" t="s">
        <v>27</v>
      </c>
      <c r="E504" s="80"/>
      <c r="F504" s="80"/>
      <c r="G504" s="140">
        <v>250171.06</v>
      </c>
      <c r="H504" s="113"/>
      <c r="I504" s="113"/>
      <c r="J504" s="275"/>
      <c r="K504" s="299"/>
      <c r="L504" s="299"/>
      <c r="M504" s="275"/>
      <c r="N504" s="144"/>
      <c r="O504" s="145"/>
      <c r="P504" s="145"/>
    </row>
    <row r="505" spans="1:16" s="20" customFormat="1">
      <c r="A505" s="161"/>
      <c r="B505" s="162" t="s">
        <v>215</v>
      </c>
      <c r="C505" s="239"/>
      <c r="D505" s="163"/>
      <c r="E505" s="165"/>
      <c r="F505" s="165"/>
      <c r="G505" s="165"/>
      <c r="H505" s="66">
        <f t="shared" si="77"/>
        <v>0</v>
      </c>
      <c r="I505" s="51"/>
      <c r="J505" s="301"/>
      <c r="K505" s="301"/>
      <c r="L505" s="315"/>
      <c r="M505" s="301"/>
      <c r="N505" s="144"/>
      <c r="O505" s="145"/>
      <c r="P505" s="145"/>
    </row>
    <row r="506" spans="1:16" s="20" customFormat="1" ht="14.25" customHeight="1">
      <c r="A506" s="161"/>
      <c r="B506" s="162" t="s">
        <v>216</v>
      </c>
      <c r="C506" s="239"/>
      <c r="D506" s="163"/>
      <c r="E506" s="165"/>
      <c r="F506" s="165"/>
      <c r="G506" s="165"/>
      <c r="H506" s="66">
        <f t="shared" si="77"/>
        <v>0</v>
      </c>
      <c r="I506" s="171"/>
      <c r="J506" s="301"/>
      <c r="K506" s="301"/>
      <c r="L506" s="315"/>
      <c r="M506" s="301"/>
      <c r="N506" s="144"/>
      <c r="O506" s="145"/>
      <c r="P506" s="145"/>
    </row>
    <row r="507" spans="1:16" s="20" customFormat="1">
      <c r="A507" s="161"/>
      <c r="B507" s="162" t="s">
        <v>217</v>
      </c>
      <c r="C507" s="239"/>
      <c r="D507" s="163"/>
      <c r="E507" s="165"/>
      <c r="F507" s="165"/>
      <c r="G507" s="165"/>
      <c r="H507" s="66">
        <f t="shared" si="77"/>
        <v>0</v>
      </c>
      <c r="I507" s="54"/>
      <c r="J507" s="316"/>
      <c r="K507" s="316">
        <v>25017.1</v>
      </c>
      <c r="L507" s="315"/>
      <c r="M507" s="316">
        <v>25017.1</v>
      </c>
      <c r="N507" s="144"/>
      <c r="O507" s="145"/>
      <c r="P507" s="145"/>
    </row>
    <row r="508" spans="1:16" s="20" customFormat="1">
      <c r="A508" s="161"/>
      <c r="B508" s="162" t="s">
        <v>31</v>
      </c>
      <c r="C508" s="239"/>
      <c r="D508" s="163"/>
      <c r="E508" s="51"/>
      <c r="F508" s="51"/>
      <c r="G508" s="51"/>
      <c r="H508" s="66">
        <f t="shared" si="77"/>
        <v>0</v>
      </c>
      <c r="I508" s="51"/>
      <c r="J508" s="301"/>
      <c r="K508" s="301"/>
      <c r="L508" s="315"/>
      <c r="M508" s="301"/>
      <c r="N508" s="144"/>
      <c r="O508" s="145"/>
      <c r="P508" s="145"/>
    </row>
    <row r="509" spans="1:16" s="20" customFormat="1">
      <c r="A509" s="161"/>
      <c r="B509" s="162" t="s">
        <v>32</v>
      </c>
      <c r="C509" s="239"/>
      <c r="D509" s="163"/>
      <c r="E509" s="51"/>
      <c r="F509" s="51"/>
      <c r="G509" s="51"/>
      <c r="H509" s="66">
        <f t="shared" si="77"/>
        <v>0</v>
      </c>
      <c r="I509" s="51"/>
      <c r="J509" s="312"/>
      <c r="K509" s="312"/>
      <c r="L509" s="315"/>
      <c r="M509" s="301"/>
      <c r="N509" s="144"/>
      <c r="O509" s="145"/>
      <c r="P509" s="145"/>
    </row>
    <row r="510" spans="1:16" s="20" customFormat="1">
      <c r="A510" s="161"/>
      <c r="B510" s="162" t="s">
        <v>33</v>
      </c>
      <c r="C510" s="239"/>
      <c r="D510" s="163"/>
      <c r="E510" s="51"/>
      <c r="F510" s="51"/>
      <c r="G510" s="51"/>
      <c r="H510" s="66">
        <f t="shared" si="77"/>
        <v>0</v>
      </c>
      <c r="I510" s="51"/>
      <c r="J510" s="301"/>
      <c r="K510" s="301"/>
      <c r="L510" s="315"/>
      <c r="M510" s="301"/>
      <c r="N510" s="144"/>
      <c r="O510" s="145"/>
      <c r="P510" s="145"/>
    </row>
    <row r="511" spans="1:16" s="20" customFormat="1" ht="42.75" customHeight="1">
      <c r="A511" s="68">
        <v>16</v>
      </c>
      <c r="B511" s="142" t="s">
        <v>336</v>
      </c>
      <c r="C511" s="241" t="s">
        <v>21</v>
      </c>
      <c r="D511" s="80" t="s">
        <v>57</v>
      </c>
      <c r="E511" s="80"/>
      <c r="F511" s="80"/>
      <c r="G511" s="140"/>
      <c r="H511" s="113"/>
      <c r="I511" s="113"/>
      <c r="J511" s="275"/>
      <c r="K511" s="299"/>
      <c r="L511" s="299"/>
      <c r="M511" s="275"/>
      <c r="N511" s="144"/>
      <c r="O511" s="145"/>
      <c r="P511" s="145"/>
    </row>
    <row r="512" spans="1:16" s="20" customFormat="1">
      <c r="A512" s="161"/>
      <c r="B512" s="162" t="s">
        <v>215</v>
      </c>
      <c r="C512" s="239"/>
      <c r="D512" s="175"/>
      <c r="E512" s="165"/>
      <c r="F512" s="165"/>
      <c r="G512" s="165"/>
      <c r="H512" s="66">
        <f t="shared" si="77"/>
        <v>0</v>
      </c>
      <c r="I512" s="51"/>
      <c r="J512" s="301"/>
      <c r="K512" s="301"/>
      <c r="L512" s="315"/>
      <c r="M512" s="301"/>
      <c r="N512" s="144"/>
      <c r="O512" s="145"/>
      <c r="P512" s="145"/>
    </row>
    <row r="513" spans="1:16" s="2" customFormat="1">
      <c r="A513" s="161"/>
      <c r="B513" s="162" t="s">
        <v>216</v>
      </c>
      <c r="C513" s="239"/>
      <c r="D513" s="163"/>
      <c r="E513" s="51"/>
      <c r="F513" s="51"/>
      <c r="G513" s="51"/>
      <c r="H513" s="66">
        <f t="shared" si="77"/>
        <v>0</v>
      </c>
      <c r="I513" s="51"/>
      <c r="J513" s="301"/>
      <c r="K513" s="301"/>
      <c r="L513" s="317"/>
      <c r="M513" s="301"/>
      <c r="N513" s="168"/>
      <c r="O513" s="168"/>
      <c r="P513" s="168"/>
    </row>
    <row r="514" spans="1:16" s="38" customFormat="1">
      <c r="A514" s="161"/>
      <c r="B514" s="162" t="s">
        <v>217</v>
      </c>
      <c r="C514" s="239"/>
      <c r="D514" s="163"/>
      <c r="E514" s="51"/>
      <c r="F514" s="51"/>
      <c r="G514" s="51"/>
      <c r="H514" s="66">
        <f t="shared" si="77"/>
        <v>0</v>
      </c>
      <c r="I514" s="51"/>
      <c r="J514" s="301"/>
      <c r="K514" s="301"/>
      <c r="L514" s="302"/>
      <c r="M514" s="301"/>
      <c r="N514" s="166"/>
      <c r="O514" s="167"/>
      <c r="P514" s="167"/>
    </row>
    <row r="515" spans="1:16" s="38" customFormat="1">
      <c r="A515" s="161"/>
      <c r="B515" s="162" t="s">
        <v>31</v>
      </c>
      <c r="C515" s="239"/>
      <c r="D515" s="163"/>
      <c r="E515" s="51"/>
      <c r="F515" s="51"/>
      <c r="G515" s="51"/>
      <c r="H515" s="66">
        <f t="shared" si="77"/>
        <v>0</v>
      </c>
      <c r="I515" s="171"/>
      <c r="J515" s="301"/>
      <c r="K515" s="301">
        <v>14134.3</v>
      </c>
      <c r="L515" s="302"/>
      <c r="M515" s="301">
        <v>14134.3</v>
      </c>
      <c r="N515" s="166"/>
      <c r="O515" s="167"/>
      <c r="P515" s="167"/>
    </row>
    <row r="516" spans="1:16" s="38" customFormat="1">
      <c r="A516" s="161"/>
      <c r="B516" s="162" t="s">
        <v>32</v>
      </c>
      <c r="C516" s="239"/>
      <c r="D516" s="163"/>
      <c r="E516" s="51"/>
      <c r="F516" s="51"/>
      <c r="G516" s="51"/>
      <c r="H516" s="66">
        <f t="shared" si="77"/>
        <v>0</v>
      </c>
      <c r="I516" s="51"/>
      <c r="J516" s="301"/>
      <c r="K516" s="301"/>
      <c r="L516" s="302"/>
      <c r="M516" s="301"/>
      <c r="N516" s="166"/>
      <c r="O516" s="167"/>
      <c r="P516" s="167"/>
    </row>
    <row r="517" spans="1:16" s="38" customFormat="1">
      <c r="A517" s="161"/>
      <c r="B517" s="162" t="s">
        <v>33</v>
      </c>
      <c r="C517" s="239"/>
      <c r="D517" s="163"/>
      <c r="E517" s="51"/>
      <c r="F517" s="51"/>
      <c r="G517" s="169"/>
      <c r="H517" s="66">
        <f t="shared" si="77"/>
        <v>0</v>
      </c>
      <c r="I517" s="51"/>
      <c r="J517" s="301"/>
      <c r="K517" s="301"/>
      <c r="L517" s="302"/>
      <c r="M517" s="301"/>
      <c r="N517" s="166"/>
      <c r="O517" s="167"/>
      <c r="P517" s="167"/>
    </row>
    <row r="518" spans="1:16" s="38" customFormat="1" ht="25.5">
      <c r="A518" s="31"/>
      <c r="B518" s="44" t="s">
        <v>223</v>
      </c>
      <c r="C518" s="343"/>
      <c r="D518" s="46"/>
      <c r="E518" s="47"/>
      <c r="F518" s="47"/>
      <c r="G518" s="47"/>
      <c r="H518" s="48">
        <f>H520+H521+H522+H523+H524</f>
        <v>115820.2</v>
      </c>
      <c r="I518" s="48">
        <f t="shared" ref="I518:M518" si="78">I520+I521+I522+I523+I524</f>
        <v>0</v>
      </c>
      <c r="J518" s="48">
        <f t="shared" si="78"/>
        <v>115820.2</v>
      </c>
      <c r="K518" s="48">
        <f t="shared" si="78"/>
        <v>1249200</v>
      </c>
      <c r="L518" s="48">
        <f t="shared" si="78"/>
        <v>0</v>
      </c>
      <c r="M518" s="48">
        <f t="shared" si="78"/>
        <v>181145.3</v>
      </c>
      <c r="N518" s="166"/>
      <c r="O518" s="167"/>
      <c r="P518" s="167"/>
    </row>
    <row r="519" spans="1:16" s="38" customFormat="1">
      <c r="A519" s="31"/>
      <c r="B519" s="44" t="s">
        <v>86</v>
      </c>
      <c r="C519" s="343"/>
      <c r="D519" s="46"/>
      <c r="E519" s="47"/>
      <c r="F519" s="47"/>
      <c r="G519" s="47"/>
      <c r="H519" s="49">
        <f t="shared" ref="H519:J519" si="79">H407+H414+H421+H428+H435+H442+H449+H456+H463+H470+H477+H484+H491+H498+H505+H512</f>
        <v>166005.09999999998</v>
      </c>
      <c r="I519" s="49">
        <f t="shared" si="79"/>
        <v>163112.59999999998</v>
      </c>
      <c r="J519" s="286">
        <f t="shared" si="79"/>
        <v>2892.5</v>
      </c>
      <c r="K519" s="269">
        <f>'[1]капстр (с краевыми)'!$J$239-J519</f>
        <v>341777.1</v>
      </c>
      <c r="M519" s="286">
        <f>M407+M414+M421+M428+M435+M442+M449+M456+M463+M470+M477+M484+M491+M498+M505+M512</f>
        <v>0</v>
      </c>
      <c r="N519" s="166"/>
      <c r="O519" s="167"/>
      <c r="P519" s="167"/>
    </row>
    <row r="520" spans="1:16" s="38" customFormat="1">
      <c r="A520" s="31"/>
      <c r="B520" s="44" t="s">
        <v>85</v>
      </c>
      <c r="C520" s="343"/>
      <c r="D520" s="46"/>
      <c r="E520" s="46"/>
      <c r="F520" s="47"/>
      <c r="G520" s="47"/>
      <c r="H520" s="49">
        <f t="shared" ref="H520:J520" si="80">H408+H415+H422+H429+H436+H443+H450+H457+H464+H471+H478+H485+H492+H499+H506+H513</f>
        <v>0</v>
      </c>
      <c r="I520" s="49">
        <f t="shared" si="80"/>
        <v>0</v>
      </c>
      <c r="J520" s="286">
        <f t="shared" si="80"/>
        <v>0</v>
      </c>
      <c r="K520" s="269">
        <f>J520-'[1]капстр (с краевыми)'!$J$240</f>
        <v>-310400</v>
      </c>
      <c r="M520" s="286">
        <f t="shared" ref="M520:M524" si="81">M408+M415+M422+M429+M436+M443+M450+M457+M464+M471+M478+M485+M492+M499+M506+M513</f>
        <v>0</v>
      </c>
      <c r="N520" s="166"/>
      <c r="O520" s="167"/>
      <c r="P520" s="167"/>
    </row>
    <row r="521" spans="1:16" s="38" customFormat="1" ht="15.75" customHeight="1">
      <c r="A521" s="31"/>
      <c r="B521" s="44" t="s">
        <v>87</v>
      </c>
      <c r="C521" s="343"/>
      <c r="D521" s="46"/>
      <c r="E521" s="46"/>
      <c r="F521" s="47"/>
      <c r="G521" s="47"/>
      <c r="H521" s="49">
        <f t="shared" ref="H521:J521" si="82">H409+H416+H423+H430+H437+H444+H451+H458+H465+H472+H479+H486+H493+H500+H507+H514</f>
        <v>0</v>
      </c>
      <c r="I521" s="49">
        <f t="shared" si="82"/>
        <v>0</v>
      </c>
      <c r="J521" s="286">
        <f t="shared" si="82"/>
        <v>0</v>
      </c>
      <c r="K521" s="269">
        <f>J521-'[1]капстр (с краевыми)'!$J$241</f>
        <v>-310400</v>
      </c>
      <c r="M521" s="286">
        <f t="shared" si="81"/>
        <v>68023.199999999997</v>
      </c>
      <c r="N521" s="166"/>
      <c r="O521" s="167"/>
      <c r="P521" s="167"/>
    </row>
    <row r="522" spans="1:16" s="38" customFormat="1">
      <c r="A522" s="31"/>
      <c r="B522" s="44" t="s">
        <v>31</v>
      </c>
      <c r="C522" s="343"/>
      <c r="D522" s="46"/>
      <c r="E522" s="46"/>
      <c r="F522" s="47"/>
      <c r="G522" s="47"/>
      <c r="H522" s="49">
        <f t="shared" ref="H522:J522" si="83">H410+H417+H424+H431+H438+H445+H452+H459+H466+H473+H480+H487+H494+H501+H508+H515</f>
        <v>0</v>
      </c>
      <c r="I522" s="49">
        <f t="shared" si="83"/>
        <v>0</v>
      </c>
      <c r="J522" s="286">
        <f t="shared" si="83"/>
        <v>0</v>
      </c>
      <c r="K522" s="269">
        <v>560000</v>
      </c>
      <c r="M522" s="286">
        <f t="shared" si="81"/>
        <v>40766.300000000003</v>
      </c>
      <c r="N522" s="166"/>
      <c r="O522" s="167"/>
      <c r="P522" s="167"/>
    </row>
    <row r="523" spans="1:16" s="38" customFormat="1">
      <c r="A523" s="31"/>
      <c r="B523" s="44" t="s">
        <v>32</v>
      </c>
      <c r="C523" s="343"/>
      <c r="D523" s="46"/>
      <c r="E523" s="46"/>
      <c r="F523" s="47"/>
      <c r="G523" s="47"/>
      <c r="H523" s="49">
        <f t="shared" ref="H523:J523" si="84">H411+H418+H425+H432+H439+H446+H453+H460+H467+H474+H481+H488+H495+H502+H509+H516</f>
        <v>16063.7</v>
      </c>
      <c r="I523" s="49">
        <f t="shared" si="84"/>
        <v>0</v>
      </c>
      <c r="J523" s="286">
        <f t="shared" si="84"/>
        <v>16063.7</v>
      </c>
      <c r="K523" s="272">
        <v>600000</v>
      </c>
      <c r="M523" s="286">
        <f t="shared" si="81"/>
        <v>24022.5</v>
      </c>
      <c r="N523" s="166"/>
      <c r="O523" s="167"/>
      <c r="P523" s="167"/>
    </row>
    <row r="524" spans="1:16" s="38" customFormat="1">
      <c r="A524" s="31"/>
      <c r="B524" s="44" t="s">
        <v>33</v>
      </c>
      <c r="C524" s="343"/>
      <c r="D524" s="46"/>
      <c r="E524" s="46"/>
      <c r="F524" s="47"/>
      <c r="G524" s="47"/>
      <c r="H524" s="49">
        <f t="shared" ref="H524:J524" si="85">H412+H419+H426+H433+H440+H447+H454+H461+H468+H475+H482+H489+H496+H503+H510+H517</f>
        <v>99756.5</v>
      </c>
      <c r="I524" s="49">
        <f t="shared" si="85"/>
        <v>0</v>
      </c>
      <c r="J524" s="286">
        <f t="shared" si="85"/>
        <v>99756.5</v>
      </c>
      <c r="K524" s="272">
        <v>710000</v>
      </c>
      <c r="M524" s="286">
        <f t="shared" si="81"/>
        <v>48333.3</v>
      </c>
      <c r="N524" s="166"/>
      <c r="O524" s="167"/>
      <c r="P524" s="167"/>
    </row>
    <row r="525" spans="1:16" s="38" customFormat="1">
      <c r="A525" s="73"/>
      <c r="B525" s="67" t="s">
        <v>17</v>
      </c>
      <c r="C525" s="348"/>
      <c r="D525" s="176"/>
      <c r="E525" s="176"/>
      <c r="F525" s="176"/>
      <c r="G525" s="177"/>
      <c r="H525" s="178"/>
      <c r="I525" s="178"/>
      <c r="J525" s="319"/>
      <c r="K525" s="320"/>
      <c r="M525" s="318"/>
      <c r="N525" s="166"/>
      <c r="O525" s="167"/>
      <c r="P525" s="167"/>
    </row>
    <row r="526" spans="1:16" s="38" customFormat="1" ht="38.25">
      <c r="A526" s="68">
        <v>1</v>
      </c>
      <c r="B526" s="179" t="s">
        <v>75</v>
      </c>
      <c r="C526" s="239" t="s">
        <v>356</v>
      </c>
      <c r="D526" s="92" t="s">
        <v>44</v>
      </c>
      <c r="E526" s="180"/>
      <c r="F526" s="181"/>
      <c r="G526" s="86"/>
      <c r="H526" s="113"/>
      <c r="I526" s="113"/>
      <c r="J526" s="275"/>
      <c r="K526" s="320"/>
      <c r="M526" s="286"/>
      <c r="N526" s="166"/>
      <c r="O526" s="167"/>
      <c r="P526" s="167"/>
    </row>
    <row r="527" spans="1:16" s="38" customFormat="1">
      <c r="A527" s="68"/>
      <c r="B527" s="72" t="s">
        <v>86</v>
      </c>
      <c r="C527" s="60"/>
      <c r="D527" s="68"/>
      <c r="E527" s="74"/>
      <c r="F527" s="182"/>
      <c r="G527" s="183"/>
      <c r="H527" s="66">
        <f t="shared" ref="H527:H532" si="86">I527+J527</f>
        <v>0</v>
      </c>
      <c r="I527" s="95"/>
      <c r="J527" s="268"/>
      <c r="K527" s="320"/>
      <c r="M527" s="318"/>
      <c r="N527" s="166"/>
      <c r="O527" s="167"/>
      <c r="P527" s="167"/>
    </row>
    <row r="528" spans="1:16" s="38" customFormat="1" ht="14.25" customHeight="1">
      <c r="A528" s="68"/>
      <c r="B528" s="72" t="s">
        <v>85</v>
      </c>
      <c r="C528" s="60"/>
      <c r="D528" s="68"/>
      <c r="E528" s="74"/>
      <c r="F528" s="182"/>
      <c r="G528" s="184"/>
      <c r="H528" s="66">
        <f t="shared" si="86"/>
        <v>772.2</v>
      </c>
      <c r="I528" s="95"/>
      <c r="J528" s="268">
        <v>772.2</v>
      </c>
      <c r="K528" s="320"/>
      <c r="M528" s="318"/>
      <c r="N528" s="166"/>
      <c r="O528" s="167"/>
      <c r="P528" s="167"/>
    </row>
    <row r="529" spans="1:16" s="38" customFormat="1">
      <c r="A529" s="68"/>
      <c r="B529" s="72" t="s">
        <v>87</v>
      </c>
      <c r="C529" s="60"/>
      <c r="D529" s="68"/>
      <c r="E529" s="74"/>
      <c r="F529" s="182"/>
      <c r="G529" s="184"/>
      <c r="H529" s="66">
        <f t="shared" si="86"/>
        <v>1100</v>
      </c>
      <c r="I529" s="95"/>
      <c r="J529" s="268">
        <v>1100</v>
      </c>
      <c r="K529" s="320"/>
      <c r="M529" s="318"/>
      <c r="N529" s="166"/>
      <c r="O529" s="167"/>
      <c r="P529" s="167"/>
    </row>
    <row r="530" spans="1:16" s="38" customFormat="1">
      <c r="A530" s="68"/>
      <c r="B530" s="72" t="s">
        <v>31</v>
      </c>
      <c r="C530" s="60"/>
      <c r="D530" s="68"/>
      <c r="E530" s="74"/>
      <c r="F530" s="55"/>
      <c r="G530" s="95"/>
      <c r="H530" s="66">
        <f t="shared" si="86"/>
        <v>1100</v>
      </c>
      <c r="I530" s="95"/>
      <c r="J530" s="268">
        <v>1100</v>
      </c>
      <c r="K530" s="320"/>
      <c r="M530" s="318"/>
      <c r="N530" s="166"/>
      <c r="O530" s="167"/>
      <c r="P530" s="167"/>
    </row>
    <row r="531" spans="1:16" s="38" customFormat="1">
      <c r="A531" s="68"/>
      <c r="B531" s="72" t="s">
        <v>32</v>
      </c>
      <c r="C531" s="60"/>
      <c r="D531" s="68"/>
      <c r="E531" s="74"/>
      <c r="F531" s="92"/>
      <c r="G531" s="95"/>
      <c r="H531" s="66">
        <f t="shared" si="86"/>
        <v>0</v>
      </c>
      <c r="I531" s="95"/>
      <c r="J531" s="268"/>
      <c r="K531" s="320"/>
      <c r="M531" s="291">
        <v>2480.9</v>
      </c>
      <c r="N531" s="166"/>
      <c r="O531" s="167"/>
      <c r="P531" s="167"/>
    </row>
    <row r="532" spans="1:16" s="38" customFormat="1">
      <c r="A532" s="68"/>
      <c r="B532" s="72" t="s">
        <v>33</v>
      </c>
      <c r="C532" s="60"/>
      <c r="D532" s="68"/>
      <c r="E532" s="74"/>
      <c r="F532" s="92"/>
      <c r="G532" s="95"/>
      <c r="H532" s="66">
        <f t="shared" si="86"/>
        <v>0</v>
      </c>
      <c r="I532" s="95"/>
      <c r="J532" s="268"/>
      <c r="K532" s="320"/>
      <c r="M532" s="318"/>
      <c r="N532" s="166"/>
      <c r="O532" s="167"/>
      <c r="P532" s="167"/>
    </row>
    <row r="533" spans="1:16" s="38" customFormat="1" ht="76.5">
      <c r="A533" s="68">
        <v>2</v>
      </c>
      <c r="B533" s="179" t="s">
        <v>187</v>
      </c>
      <c r="C533" s="239" t="s">
        <v>240</v>
      </c>
      <c r="D533" s="92" t="s">
        <v>27</v>
      </c>
      <c r="E533" s="74"/>
      <c r="F533" s="80"/>
      <c r="G533" s="113"/>
      <c r="H533" s="113"/>
      <c r="I533" s="113"/>
      <c r="J533" s="275"/>
      <c r="K533" s="320"/>
      <c r="M533" s="286"/>
      <c r="N533" s="166"/>
      <c r="O533" s="167"/>
      <c r="P533" s="167"/>
    </row>
    <row r="534" spans="1:16" s="38" customFormat="1">
      <c r="A534" s="68"/>
      <c r="B534" s="72" t="s">
        <v>86</v>
      </c>
      <c r="C534" s="60"/>
      <c r="D534" s="68"/>
      <c r="E534" s="74"/>
      <c r="F534" s="182"/>
      <c r="G534" s="183"/>
      <c r="H534" s="66">
        <f t="shared" ref="H534:H539" si="87">I534+J534</f>
        <v>0</v>
      </c>
      <c r="I534" s="95"/>
      <c r="J534" s="268"/>
      <c r="K534" s="320"/>
      <c r="M534" s="318"/>
      <c r="N534" s="166"/>
      <c r="O534" s="167"/>
      <c r="P534" s="167"/>
    </row>
    <row r="535" spans="1:16" s="38" customFormat="1">
      <c r="A535" s="68"/>
      <c r="B535" s="72" t="s">
        <v>85</v>
      </c>
      <c r="C535" s="60"/>
      <c r="D535" s="68"/>
      <c r="E535" s="74"/>
      <c r="F535" s="182"/>
      <c r="G535" s="184"/>
      <c r="H535" s="66">
        <f t="shared" si="87"/>
        <v>0</v>
      </c>
      <c r="I535" s="95"/>
      <c r="J535" s="268"/>
      <c r="K535" s="320"/>
      <c r="M535" s="318"/>
      <c r="N535" s="166"/>
      <c r="O535" s="167"/>
      <c r="P535" s="167"/>
    </row>
    <row r="536" spans="1:16" s="38" customFormat="1">
      <c r="A536" s="68"/>
      <c r="B536" s="72" t="s">
        <v>87</v>
      </c>
      <c r="C536" s="60"/>
      <c r="D536" s="68"/>
      <c r="E536" s="74"/>
      <c r="F536" s="182"/>
      <c r="G536" s="184"/>
      <c r="H536" s="66">
        <f t="shared" si="87"/>
        <v>0</v>
      </c>
      <c r="I536" s="95"/>
      <c r="J536" s="268"/>
      <c r="K536" s="320"/>
      <c r="M536" s="318"/>
      <c r="N536" s="166"/>
      <c r="O536" s="167"/>
      <c r="P536" s="167"/>
    </row>
    <row r="537" spans="1:16" s="38" customFormat="1">
      <c r="A537" s="68"/>
      <c r="B537" s="72" t="s">
        <v>31</v>
      </c>
      <c r="C537" s="60"/>
      <c r="D537" s="68"/>
      <c r="E537" s="74"/>
      <c r="F537" s="55"/>
      <c r="G537" s="95"/>
      <c r="H537" s="66">
        <f t="shared" si="87"/>
        <v>1800</v>
      </c>
      <c r="I537" s="95"/>
      <c r="J537" s="268">
        <v>1800</v>
      </c>
      <c r="K537" s="320"/>
      <c r="M537" s="318"/>
      <c r="N537" s="166"/>
      <c r="O537" s="167"/>
      <c r="P537" s="167"/>
    </row>
    <row r="538" spans="1:16" s="38" customFormat="1">
      <c r="A538" s="68"/>
      <c r="B538" s="72" t="s">
        <v>32</v>
      </c>
      <c r="C538" s="60"/>
      <c r="D538" s="68"/>
      <c r="E538" s="74"/>
      <c r="F538" s="92"/>
      <c r="G538" s="95"/>
      <c r="H538" s="66">
        <f t="shared" si="87"/>
        <v>5669.5</v>
      </c>
      <c r="I538" s="66"/>
      <c r="J538" s="258">
        <v>5669.5</v>
      </c>
      <c r="K538" s="320"/>
      <c r="M538" s="258">
        <v>3330.5</v>
      </c>
      <c r="N538" s="166"/>
      <c r="O538" s="167"/>
      <c r="P538" s="167"/>
    </row>
    <row r="539" spans="1:16" s="38" customFormat="1">
      <c r="A539" s="68"/>
      <c r="B539" s="72" t="s">
        <v>33</v>
      </c>
      <c r="C539" s="60"/>
      <c r="D539" s="68"/>
      <c r="E539" s="74"/>
      <c r="F539" s="92"/>
      <c r="G539" s="95"/>
      <c r="H539" s="66">
        <f t="shared" si="87"/>
        <v>5483.4</v>
      </c>
      <c r="I539" s="66"/>
      <c r="J539" s="258">
        <v>5483.4</v>
      </c>
      <c r="K539" s="320"/>
      <c r="L539" s="38">
        <v>74100</v>
      </c>
      <c r="M539" s="258">
        <f>9000-J539</f>
        <v>3516.6000000000004</v>
      </c>
      <c r="N539" s="166"/>
      <c r="O539" s="167"/>
      <c r="P539" s="167"/>
    </row>
    <row r="540" spans="1:16" s="38" customFormat="1" ht="25.5">
      <c r="A540" s="31"/>
      <c r="B540" s="44" t="s">
        <v>224</v>
      </c>
      <c r="C540" s="343"/>
      <c r="D540" s="46"/>
      <c r="E540" s="47"/>
      <c r="F540" s="47"/>
      <c r="G540" s="47"/>
      <c r="H540" s="48">
        <f>H542+H543+H544+H545+H546</f>
        <v>15925.1</v>
      </c>
      <c r="I540" s="48">
        <f t="shared" ref="I540:M540" si="88">I542+I543+I544+I545+I546</f>
        <v>0</v>
      </c>
      <c r="J540" s="48">
        <f t="shared" si="88"/>
        <v>15925.1</v>
      </c>
      <c r="K540" s="48">
        <f t="shared" si="88"/>
        <v>1251072.2</v>
      </c>
      <c r="L540" s="48">
        <f t="shared" si="88"/>
        <v>0</v>
      </c>
      <c r="M540" s="48">
        <f t="shared" si="88"/>
        <v>9328</v>
      </c>
      <c r="N540" s="166"/>
      <c r="O540" s="167"/>
      <c r="P540" s="167"/>
    </row>
    <row r="541" spans="1:16" s="38" customFormat="1">
      <c r="A541" s="31"/>
      <c r="B541" s="44" t="s">
        <v>86</v>
      </c>
      <c r="C541" s="343"/>
      <c r="D541" s="46"/>
      <c r="E541" s="47"/>
      <c r="F541" s="47"/>
      <c r="G541" s="47"/>
      <c r="H541" s="49">
        <f t="shared" ref="H541:I541" si="89">H527+H534</f>
        <v>0</v>
      </c>
      <c r="I541" s="49">
        <f t="shared" si="89"/>
        <v>0</v>
      </c>
      <c r="J541" s="286">
        <f>J527+J534</f>
        <v>0</v>
      </c>
      <c r="K541" s="269">
        <f>'[1]капстр (с краевыми)'!$J$239-J541</f>
        <v>344669.6</v>
      </c>
      <c r="M541" s="286">
        <f>M527+M534</f>
        <v>0</v>
      </c>
      <c r="N541" s="166"/>
      <c r="O541" s="167"/>
      <c r="P541" s="167"/>
    </row>
    <row r="542" spans="1:16" s="38" customFormat="1">
      <c r="A542" s="31"/>
      <c r="B542" s="44" t="s">
        <v>85</v>
      </c>
      <c r="C542" s="343"/>
      <c r="D542" s="46"/>
      <c r="E542" s="46"/>
      <c r="F542" s="47"/>
      <c r="G542" s="47"/>
      <c r="H542" s="49">
        <f t="shared" ref="H542:J546" si="90">H528+H535</f>
        <v>772.2</v>
      </c>
      <c r="I542" s="49">
        <f t="shared" si="90"/>
        <v>0</v>
      </c>
      <c r="J542" s="286">
        <f t="shared" si="90"/>
        <v>772.2</v>
      </c>
      <c r="K542" s="269">
        <f>J542-'[1]капстр (с краевыми)'!$J$240</f>
        <v>-309627.8</v>
      </c>
      <c r="M542" s="286">
        <f t="shared" ref="M542" si="91">M528+M535</f>
        <v>0</v>
      </c>
      <c r="N542" s="166"/>
      <c r="O542" s="167"/>
      <c r="P542" s="167"/>
    </row>
    <row r="543" spans="1:16" s="38" customFormat="1">
      <c r="A543" s="31"/>
      <c r="B543" s="44" t="s">
        <v>87</v>
      </c>
      <c r="C543" s="343"/>
      <c r="D543" s="46"/>
      <c r="E543" s="46"/>
      <c r="F543" s="47"/>
      <c r="G543" s="47"/>
      <c r="H543" s="49">
        <f t="shared" si="90"/>
        <v>1100</v>
      </c>
      <c r="I543" s="49">
        <f t="shared" si="90"/>
        <v>0</v>
      </c>
      <c r="J543" s="286">
        <f t="shared" si="90"/>
        <v>1100</v>
      </c>
      <c r="K543" s="269">
        <f>J543-'[1]капстр (с краевыми)'!$J$241</f>
        <v>-309300</v>
      </c>
      <c r="M543" s="286">
        <f t="shared" ref="M543" si="92">M529+M536</f>
        <v>0</v>
      </c>
      <c r="N543" s="166"/>
      <c r="O543" s="167"/>
      <c r="P543" s="167"/>
    </row>
    <row r="544" spans="1:16" s="38" customFormat="1">
      <c r="A544" s="31"/>
      <c r="B544" s="44" t="s">
        <v>31</v>
      </c>
      <c r="C544" s="343"/>
      <c r="D544" s="46"/>
      <c r="E544" s="46"/>
      <c r="F544" s="47"/>
      <c r="G544" s="47"/>
      <c r="H544" s="47">
        <f t="shared" si="90"/>
        <v>2900</v>
      </c>
      <c r="I544" s="47">
        <f t="shared" si="90"/>
        <v>0</v>
      </c>
      <c r="J544" s="296">
        <f t="shared" si="90"/>
        <v>2900</v>
      </c>
      <c r="K544" s="269">
        <v>560000</v>
      </c>
      <c r="M544" s="296">
        <f t="shared" ref="M544" si="93">M530+M537</f>
        <v>0</v>
      </c>
      <c r="N544" s="166"/>
      <c r="O544" s="167"/>
      <c r="P544" s="167"/>
    </row>
    <row r="545" spans="1:16" s="38" customFormat="1">
      <c r="A545" s="31"/>
      <c r="B545" s="44" t="s">
        <v>32</v>
      </c>
      <c r="C545" s="343"/>
      <c r="D545" s="46"/>
      <c r="E545" s="46"/>
      <c r="F545" s="47"/>
      <c r="G545" s="47"/>
      <c r="H545" s="47">
        <f t="shared" si="90"/>
        <v>5669.5</v>
      </c>
      <c r="I545" s="47">
        <f t="shared" si="90"/>
        <v>0</v>
      </c>
      <c r="J545" s="296">
        <f t="shared" si="90"/>
        <v>5669.5</v>
      </c>
      <c r="K545" s="272">
        <v>600000</v>
      </c>
      <c r="M545" s="296">
        <f t="shared" ref="M545" si="94">M531+M538</f>
        <v>5811.4</v>
      </c>
      <c r="N545" s="166"/>
      <c r="O545" s="167"/>
      <c r="P545" s="167"/>
    </row>
    <row r="546" spans="1:16" s="38" customFormat="1">
      <c r="A546" s="31"/>
      <c r="B546" s="44" t="s">
        <v>33</v>
      </c>
      <c r="C546" s="343"/>
      <c r="D546" s="46"/>
      <c r="E546" s="46"/>
      <c r="F546" s="47"/>
      <c r="G546" s="47"/>
      <c r="H546" s="47">
        <f t="shared" si="90"/>
        <v>5483.4</v>
      </c>
      <c r="I546" s="47">
        <f t="shared" si="90"/>
        <v>0</v>
      </c>
      <c r="J546" s="296">
        <f t="shared" si="90"/>
        <v>5483.4</v>
      </c>
      <c r="K546" s="272">
        <v>710000</v>
      </c>
      <c r="M546" s="296">
        <f t="shared" ref="M546" si="95">M532+M539</f>
        <v>3516.6000000000004</v>
      </c>
      <c r="N546" s="166"/>
      <c r="O546" s="167"/>
      <c r="P546" s="167"/>
    </row>
    <row r="547" spans="1:16" s="38" customFormat="1" ht="31.5">
      <c r="A547" s="67"/>
      <c r="B547" s="67" t="s">
        <v>18</v>
      </c>
      <c r="C547" s="346"/>
      <c r="D547" s="134"/>
      <c r="E547" s="134"/>
      <c r="F547" s="134"/>
      <c r="G547" s="136"/>
      <c r="H547" s="137"/>
      <c r="I547" s="137"/>
      <c r="J547" s="287"/>
      <c r="K547" s="320"/>
      <c r="M547" s="318"/>
      <c r="N547" s="166"/>
      <c r="O547" s="167"/>
      <c r="P547" s="167"/>
    </row>
    <row r="548" spans="1:16" s="38" customFormat="1" ht="25.5">
      <c r="A548" s="92">
        <v>1</v>
      </c>
      <c r="B548" s="185" t="s">
        <v>204</v>
      </c>
      <c r="C548" s="239" t="s">
        <v>241</v>
      </c>
      <c r="D548" s="92" t="s">
        <v>53</v>
      </c>
      <c r="E548" s="70">
        <v>83937</v>
      </c>
      <c r="F548" s="70"/>
      <c r="G548" s="70"/>
      <c r="H548" s="186"/>
      <c r="I548" s="186"/>
      <c r="J548" s="321"/>
      <c r="K548" s="320"/>
      <c r="M548" s="286"/>
      <c r="N548" s="166"/>
      <c r="O548" s="167"/>
      <c r="P548" s="167"/>
    </row>
    <row r="549" spans="1:16" s="38" customFormat="1">
      <c r="A549" s="92"/>
      <c r="B549" s="72" t="s">
        <v>86</v>
      </c>
      <c r="C549" s="249"/>
      <c r="D549" s="187"/>
      <c r="E549" s="188" t="s">
        <v>37</v>
      </c>
      <c r="F549" s="189"/>
      <c r="G549" s="186"/>
      <c r="H549" s="66"/>
      <c r="I549" s="186"/>
      <c r="J549" s="321"/>
      <c r="K549" s="320"/>
      <c r="M549" s="318"/>
      <c r="N549" s="166"/>
      <c r="O549" s="167"/>
      <c r="P549" s="167"/>
    </row>
    <row r="550" spans="1:16" s="38" customFormat="1">
      <c r="A550" s="92"/>
      <c r="B550" s="72" t="s">
        <v>85</v>
      </c>
      <c r="C550" s="250"/>
      <c r="D550" s="187"/>
      <c r="E550" s="188"/>
      <c r="F550" s="70">
        <v>81489.8</v>
      </c>
      <c r="G550" s="66">
        <v>369963.8</v>
      </c>
      <c r="H550" s="66">
        <f t="shared" ref="H550:H554" si="96">I550+J550</f>
        <v>318606.3</v>
      </c>
      <c r="I550" s="186">
        <v>129412.2</v>
      </c>
      <c r="J550" s="321">
        <v>189194.1</v>
      </c>
      <c r="K550" s="322"/>
      <c r="M550" s="318"/>
      <c r="N550" s="166"/>
      <c r="O550" s="167"/>
      <c r="P550" s="167"/>
    </row>
    <row r="551" spans="1:16" s="38" customFormat="1">
      <c r="A551" s="92"/>
      <c r="B551" s="72" t="s">
        <v>87</v>
      </c>
      <c r="C551" s="250"/>
      <c r="D551" s="187"/>
      <c r="E551" s="188"/>
      <c r="F551" s="70">
        <v>8506.4</v>
      </c>
      <c r="G551" s="66">
        <f>H551</f>
        <v>64393.7</v>
      </c>
      <c r="H551" s="66">
        <f t="shared" si="96"/>
        <v>64393.7</v>
      </c>
      <c r="I551" s="186"/>
      <c r="J551" s="321">
        <v>64393.7</v>
      </c>
      <c r="K551" s="323"/>
      <c r="M551" s="318"/>
      <c r="N551" s="166"/>
      <c r="O551" s="167"/>
      <c r="P551" s="167"/>
    </row>
    <row r="552" spans="1:16" s="38" customFormat="1">
      <c r="A552" s="92"/>
      <c r="B552" s="72" t="s">
        <v>31</v>
      </c>
      <c r="C552" s="250"/>
      <c r="D552" s="187"/>
      <c r="E552" s="188"/>
      <c r="F552" s="188"/>
      <c r="G552" s="186"/>
      <c r="H552" s="66">
        <f t="shared" si="96"/>
        <v>0</v>
      </c>
      <c r="I552" s="186"/>
      <c r="J552" s="321"/>
      <c r="K552" s="320"/>
      <c r="M552" s="318"/>
      <c r="N552" s="166"/>
      <c r="O552" s="167"/>
      <c r="P552" s="167"/>
    </row>
    <row r="553" spans="1:16" s="38" customFormat="1">
      <c r="A553" s="92"/>
      <c r="B553" s="72" t="s">
        <v>32</v>
      </c>
      <c r="C553" s="250"/>
      <c r="D553" s="187"/>
      <c r="E553" s="188"/>
      <c r="F553" s="188"/>
      <c r="G553" s="186"/>
      <c r="H553" s="66">
        <f t="shared" si="96"/>
        <v>0</v>
      </c>
      <c r="I553" s="186"/>
      <c r="J553" s="321"/>
      <c r="K553" s="320"/>
      <c r="L553" s="38" t="s">
        <v>116</v>
      </c>
      <c r="M553" s="318"/>
      <c r="N553" s="166"/>
      <c r="O553" s="167"/>
      <c r="P553" s="167"/>
    </row>
    <row r="554" spans="1:16" s="38" customFormat="1">
      <c r="A554" s="92"/>
      <c r="B554" s="72" t="s">
        <v>33</v>
      </c>
      <c r="C554" s="250"/>
      <c r="D554" s="187"/>
      <c r="E554" s="188"/>
      <c r="F554" s="188"/>
      <c r="G554" s="186"/>
      <c r="H554" s="66">
        <f t="shared" si="96"/>
        <v>0</v>
      </c>
      <c r="I554" s="186"/>
      <c r="J554" s="321"/>
      <c r="K554" s="320"/>
      <c r="M554" s="318"/>
      <c r="N554" s="166"/>
      <c r="O554" s="167"/>
      <c r="P554" s="167"/>
    </row>
    <row r="555" spans="1:16" s="38" customFormat="1" ht="25.5">
      <c r="A555" s="92">
        <v>2</v>
      </c>
      <c r="B555" s="185" t="s">
        <v>167</v>
      </c>
      <c r="C555" s="239" t="s">
        <v>81</v>
      </c>
      <c r="D555" s="92" t="s">
        <v>40</v>
      </c>
      <c r="E555" s="70">
        <v>87908.1</v>
      </c>
      <c r="F555" s="70">
        <v>79766.3</v>
      </c>
      <c r="G555" s="186"/>
      <c r="H555" s="186"/>
      <c r="I555" s="186"/>
      <c r="J555" s="321"/>
      <c r="K555" s="320"/>
      <c r="M555" s="286"/>
      <c r="N555" s="166"/>
      <c r="O555" s="167"/>
      <c r="P555" s="167"/>
    </row>
    <row r="556" spans="1:16" s="38" customFormat="1" ht="33" customHeight="1">
      <c r="A556" s="92"/>
      <c r="B556" s="72" t="s">
        <v>86</v>
      </c>
      <c r="C556" s="249"/>
      <c r="D556" s="187"/>
      <c r="E556" s="188"/>
      <c r="F556" s="70">
        <f>F555</f>
        <v>79766.3</v>
      </c>
      <c r="G556" s="66">
        <f>H556</f>
        <v>313589.3</v>
      </c>
      <c r="H556" s="66">
        <f t="shared" ref="H556:H561" si="97">I556+J556</f>
        <v>313589.3</v>
      </c>
      <c r="I556" s="186">
        <v>301682</v>
      </c>
      <c r="J556" s="321">
        <v>11907.3</v>
      </c>
      <c r="K556" s="320"/>
      <c r="M556" s="318"/>
      <c r="N556" s="166"/>
      <c r="O556" s="167"/>
      <c r="P556" s="167"/>
    </row>
    <row r="557" spans="1:16" s="38" customFormat="1">
      <c r="A557" s="92"/>
      <c r="B557" s="72" t="s">
        <v>85</v>
      </c>
      <c r="C557" s="250"/>
      <c r="D557" s="187"/>
      <c r="E557" s="188"/>
      <c r="F557" s="188"/>
      <c r="G557" s="186"/>
      <c r="H557" s="66">
        <f t="shared" si="97"/>
        <v>0</v>
      </c>
      <c r="I557" s="186"/>
      <c r="J557" s="321"/>
      <c r="K557" s="324"/>
      <c r="M557" s="318"/>
      <c r="N557" s="166"/>
      <c r="O557" s="167"/>
      <c r="P557" s="167"/>
    </row>
    <row r="558" spans="1:16" s="38" customFormat="1">
      <c r="A558" s="92"/>
      <c r="B558" s="72" t="s">
        <v>87</v>
      </c>
      <c r="C558" s="250"/>
      <c r="D558" s="187"/>
      <c r="E558" s="188"/>
      <c r="F558" s="188"/>
      <c r="G558" s="186"/>
      <c r="H558" s="66">
        <f t="shared" si="97"/>
        <v>0</v>
      </c>
      <c r="I558" s="186"/>
      <c r="J558" s="321"/>
      <c r="K558" s="324"/>
      <c r="M558" s="318"/>
      <c r="N558" s="166"/>
      <c r="O558" s="167"/>
      <c r="P558" s="167"/>
    </row>
    <row r="559" spans="1:16" s="38" customFormat="1">
      <c r="A559" s="92"/>
      <c r="B559" s="72" t="s">
        <v>31</v>
      </c>
      <c r="C559" s="250"/>
      <c r="D559" s="187"/>
      <c r="E559" s="188"/>
      <c r="F559" s="188"/>
      <c r="G559" s="186"/>
      <c r="H559" s="66">
        <f t="shared" si="97"/>
        <v>0</v>
      </c>
      <c r="I559" s="186"/>
      <c r="J559" s="321"/>
      <c r="K559" s="324"/>
      <c r="M559" s="318"/>
      <c r="N559" s="166"/>
      <c r="O559" s="167"/>
      <c r="P559" s="167"/>
    </row>
    <row r="560" spans="1:16" s="38" customFormat="1">
      <c r="A560" s="92"/>
      <c r="B560" s="72" t="s">
        <v>32</v>
      </c>
      <c r="C560" s="250"/>
      <c r="D560" s="187"/>
      <c r="E560" s="188"/>
      <c r="F560" s="188"/>
      <c r="G560" s="186"/>
      <c r="H560" s="66">
        <f t="shared" si="97"/>
        <v>0</v>
      </c>
      <c r="I560" s="186"/>
      <c r="J560" s="321"/>
      <c r="K560" s="324"/>
      <c r="M560" s="318"/>
      <c r="N560" s="166"/>
      <c r="O560" s="167"/>
      <c r="P560" s="167"/>
    </row>
    <row r="561" spans="1:16" s="38" customFormat="1">
      <c r="A561" s="92"/>
      <c r="B561" s="72" t="s">
        <v>33</v>
      </c>
      <c r="C561" s="250"/>
      <c r="D561" s="187"/>
      <c r="E561" s="188"/>
      <c r="F561" s="188"/>
      <c r="G561" s="186"/>
      <c r="H561" s="66">
        <f t="shared" si="97"/>
        <v>0</v>
      </c>
      <c r="I561" s="186"/>
      <c r="J561" s="321"/>
      <c r="K561" s="324"/>
      <c r="M561" s="318"/>
      <c r="N561" s="166"/>
      <c r="O561" s="167"/>
      <c r="P561" s="167"/>
    </row>
    <row r="562" spans="1:16" s="38" customFormat="1" ht="76.5">
      <c r="A562" s="92">
        <v>3</v>
      </c>
      <c r="B562" s="185" t="s">
        <v>188</v>
      </c>
      <c r="C562" s="239" t="s">
        <v>82</v>
      </c>
      <c r="D562" s="92" t="s">
        <v>41</v>
      </c>
      <c r="E562" s="92">
        <v>84495.2</v>
      </c>
      <c r="F562" s="92">
        <v>84076.9</v>
      </c>
      <c r="G562" s="186"/>
      <c r="H562" s="186"/>
      <c r="I562" s="186"/>
      <c r="J562" s="321"/>
      <c r="K562" s="324"/>
      <c r="M562" s="286"/>
      <c r="N562" s="166"/>
      <c r="O562" s="167"/>
      <c r="P562" s="167"/>
    </row>
    <row r="563" spans="1:16" s="38" customFormat="1" ht="29.25" customHeight="1">
      <c r="A563" s="92"/>
      <c r="B563" s="72" t="s">
        <v>86</v>
      </c>
      <c r="C563" s="250"/>
      <c r="D563" s="187"/>
      <c r="E563" s="188"/>
      <c r="F563" s="188"/>
      <c r="G563" s="186"/>
      <c r="H563" s="66">
        <f t="shared" ref="H563:H568" si="98">I563+J563</f>
        <v>0</v>
      </c>
      <c r="I563" s="186"/>
      <c r="J563" s="321"/>
      <c r="K563" s="324"/>
      <c r="M563" s="318"/>
      <c r="N563" s="166"/>
      <c r="O563" s="167"/>
      <c r="P563" s="167"/>
    </row>
    <row r="564" spans="1:16" s="38" customFormat="1">
      <c r="A564" s="92"/>
      <c r="B564" s="72" t="s">
        <v>85</v>
      </c>
      <c r="C564" s="250"/>
      <c r="D564" s="187"/>
      <c r="E564" s="188"/>
      <c r="F564" s="188"/>
      <c r="G564" s="186"/>
      <c r="H564" s="66">
        <f t="shared" si="98"/>
        <v>0</v>
      </c>
      <c r="I564" s="186"/>
      <c r="J564" s="321"/>
      <c r="K564" s="324"/>
      <c r="M564" s="318"/>
      <c r="N564" s="166"/>
      <c r="O564" s="167"/>
      <c r="P564" s="167"/>
    </row>
    <row r="565" spans="1:16" s="38" customFormat="1">
      <c r="A565" s="92"/>
      <c r="B565" s="72" t="s">
        <v>87</v>
      </c>
      <c r="C565" s="249"/>
      <c r="D565" s="187"/>
      <c r="E565" s="188"/>
      <c r="F565" s="189"/>
      <c r="G565" s="186"/>
      <c r="H565" s="66">
        <f t="shared" si="98"/>
        <v>0</v>
      </c>
      <c r="I565" s="95"/>
      <c r="J565" s="321"/>
      <c r="K565" s="324"/>
      <c r="M565" s="318"/>
      <c r="N565" s="166"/>
      <c r="O565" s="167"/>
      <c r="P565" s="167"/>
    </row>
    <row r="566" spans="1:16" s="38" customFormat="1">
      <c r="A566" s="92"/>
      <c r="B566" s="72" t="s">
        <v>31</v>
      </c>
      <c r="C566" s="249"/>
      <c r="D566" s="187"/>
      <c r="E566" s="188"/>
      <c r="F566" s="189"/>
      <c r="G566" s="186"/>
      <c r="H566" s="66">
        <f t="shared" si="98"/>
        <v>0</v>
      </c>
      <c r="I566" s="95"/>
      <c r="J566" s="321"/>
      <c r="K566" s="324"/>
      <c r="M566" s="318"/>
      <c r="N566" s="166"/>
      <c r="O566" s="167"/>
      <c r="P566" s="167"/>
    </row>
    <row r="567" spans="1:16" s="38" customFormat="1">
      <c r="A567" s="92"/>
      <c r="B567" s="72" t="s">
        <v>32</v>
      </c>
      <c r="C567" s="250"/>
      <c r="D567" s="187"/>
      <c r="E567" s="188"/>
      <c r="F567" s="66">
        <f>F562</f>
        <v>84076.9</v>
      </c>
      <c r="G567" s="66">
        <v>410295.2</v>
      </c>
      <c r="H567" s="66">
        <f t="shared" si="98"/>
        <v>0</v>
      </c>
      <c r="I567" s="66"/>
      <c r="J567" s="258"/>
      <c r="K567" s="324"/>
      <c r="M567" s="258">
        <v>47071.6</v>
      </c>
      <c r="N567" s="166"/>
      <c r="O567" s="167"/>
      <c r="P567" s="167"/>
    </row>
    <row r="568" spans="1:16" s="38" customFormat="1">
      <c r="A568" s="92"/>
      <c r="B568" s="72" t="s">
        <v>33</v>
      </c>
      <c r="C568" s="250"/>
      <c r="D568" s="187"/>
      <c r="E568" s="188"/>
      <c r="F568" s="66">
        <v>68532.800000000003</v>
      </c>
      <c r="G568" s="66">
        <v>363223.6</v>
      </c>
      <c r="H568" s="66">
        <f t="shared" si="98"/>
        <v>109724.1</v>
      </c>
      <c r="I568" s="66"/>
      <c r="J568" s="258">
        <v>109724.1</v>
      </c>
      <c r="K568" s="324"/>
      <c r="M568" s="318"/>
      <c r="N568" s="166"/>
      <c r="O568" s="167"/>
      <c r="P568" s="167"/>
    </row>
    <row r="569" spans="1:16" s="38" customFormat="1" ht="51">
      <c r="A569" s="92">
        <v>4</v>
      </c>
      <c r="B569" s="185" t="s">
        <v>168</v>
      </c>
      <c r="C569" s="239" t="s">
        <v>242</v>
      </c>
      <c r="D569" s="92" t="s">
        <v>135</v>
      </c>
      <c r="E569" s="190">
        <v>58068.5</v>
      </c>
      <c r="F569" s="190">
        <f>E569</f>
        <v>58068.5</v>
      </c>
      <c r="G569" s="190">
        <v>295530</v>
      </c>
      <c r="H569" s="186"/>
      <c r="I569" s="186"/>
      <c r="J569" s="321"/>
      <c r="K569" s="325"/>
      <c r="M569" s="286"/>
      <c r="N569" s="166"/>
      <c r="O569" s="167"/>
      <c r="P569" s="167"/>
    </row>
    <row r="570" spans="1:16" s="38" customFormat="1">
      <c r="A570" s="92"/>
      <c r="B570" s="72" t="s">
        <v>86</v>
      </c>
      <c r="C570" s="250"/>
      <c r="D570" s="187"/>
      <c r="E570" s="188" t="s">
        <v>37</v>
      </c>
      <c r="F570" s="66">
        <f>F569</f>
        <v>58068.5</v>
      </c>
      <c r="G570" s="66">
        <f>G569</f>
        <v>295530</v>
      </c>
      <c r="H570" s="66">
        <f t="shared" ref="H570:H575" si="99">I570+J570</f>
        <v>2390</v>
      </c>
      <c r="I570" s="66"/>
      <c r="J570" s="258">
        <v>2390</v>
      </c>
      <c r="M570" s="318"/>
      <c r="N570" s="166"/>
      <c r="O570" s="167"/>
      <c r="P570" s="167"/>
    </row>
    <row r="571" spans="1:16" s="38" customFormat="1">
      <c r="A571" s="92"/>
      <c r="B571" s="72" t="s">
        <v>85</v>
      </c>
      <c r="C571" s="246"/>
      <c r="D571" s="55"/>
      <c r="E571" s="189"/>
      <c r="F571" s="66">
        <v>57510.1</v>
      </c>
      <c r="G571" s="66">
        <v>293140</v>
      </c>
      <c r="H571" s="66">
        <f t="shared" si="99"/>
        <v>2140</v>
      </c>
      <c r="I571" s="95"/>
      <c r="J571" s="278">
        <v>2140</v>
      </c>
      <c r="M571" s="318"/>
      <c r="N571" s="166"/>
      <c r="O571" s="167"/>
      <c r="P571" s="167"/>
    </row>
    <row r="572" spans="1:16" s="38" customFormat="1">
      <c r="A572" s="92"/>
      <c r="B572" s="72" t="s">
        <v>87</v>
      </c>
      <c r="C572" s="246"/>
      <c r="D572" s="55"/>
      <c r="E572" s="189"/>
      <c r="F572" s="66">
        <v>57038.7</v>
      </c>
      <c r="G572" s="66">
        <v>291000</v>
      </c>
      <c r="H572" s="66">
        <f t="shared" si="99"/>
        <v>155000</v>
      </c>
      <c r="I572" s="95"/>
      <c r="J572" s="278">
        <f>74000+81000</f>
        <v>155000</v>
      </c>
      <c r="M572" s="318"/>
      <c r="N572" s="166"/>
      <c r="O572" s="167"/>
      <c r="P572" s="167"/>
    </row>
    <row r="573" spans="1:16" s="38" customFormat="1">
      <c r="A573" s="92"/>
      <c r="B573" s="72" t="s">
        <v>31</v>
      </c>
      <c r="C573" s="249"/>
      <c r="D573" s="187"/>
      <c r="E573" s="188"/>
      <c r="F573" s="66">
        <v>25276.400000000001</v>
      </c>
      <c r="G573" s="66">
        <v>136000</v>
      </c>
      <c r="H573" s="66">
        <f t="shared" si="99"/>
        <v>110000</v>
      </c>
      <c r="I573" s="95"/>
      <c r="J573" s="321">
        <v>110000</v>
      </c>
      <c r="M573" s="318"/>
      <c r="N573" s="166"/>
      <c r="O573" s="167"/>
      <c r="P573" s="167"/>
    </row>
    <row r="574" spans="1:16" s="38" customFormat="1">
      <c r="A574" s="92"/>
      <c r="B574" s="72" t="s">
        <v>32</v>
      </c>
      <c r="C574" s="250"/>
      <c r="D574" s="187"/>
      <c r="E574" s="188"/>
      <c r="F574" s="66">
        <v>4521.7</v>
      </c>
      <c r="G574" s="66">
        <f>H574</f>
        <v>26000</v>
      </c>
      <c r="H574" s="66">
        <f t="shared" si="99"/>
        <v>26000</v>
      </c>
      <c r="I574" s="66"/>
      <c r="J574" s="258">
        <v>26000</v>
      </c>
      <c r="L574" s="38">
        <v>29973.4</v>
      </c>
      <c r="M574" s="318"/>
      <c r="N574" s="166"/>
      <c r="O574" s="167"/>
      <c r="P574" s="167"/>
    </row>
    <row r="575" spans="1:16" s="38" customFormat="1">
      <c r="A575" s="92"/>
      <c r="B575" s="72" t="s">
        <v>33</v>
      </c>
      <c r="C575" s="250"/>
      <c r="D575" s="187"/>
      <c r="E575" s="188"/>
      <c r="F575" s="188"/>
      <c r="G575" s="186"/>
      <c r="H575" s="66">
        <f t="shared" si="99"/>
        <v>0</v>
      </c>
      <c r="I575" s="186"/>
      <c r="J575" s="321"/>
      <c r="M575" s="318"/>
      <c r="N575" s="166"/>
      <c r="O575" s="167"/>
      <c r="P575" s="167"/>
    </row>
    <row r="576" spans="1:16" s="38" customFormat="1" ht="76.5">
      <c r="A576" s="92">
        <v>5</v>
      </c>
      <c r="B576" s="191" t="s">
        <v>169</v>
      </c>
      <c r="C576" s="239" t="s">
        <v>243</v>
      </c>
      <c r="D576" s="92" t="s">
        <v>22</v>
      </c>
      <c r="E576" s="190">
        <v>87151.6</v>
      </c>
      <c r="F576" s="190">
        <f>E576</f>
        <v>87151.6</v>
      </c>
      <c r="G576" s="190">
        <v>425300</v>
      </c>
      <c r="H576" s="95"/>
      <c r="I576" s="95"/>
      <c r="J576" s="268"/>
      <c r="M576" s="286"/>
      <c r="N576" s="166"/>
      <c r="O576" s="167"/>
      <c r="P576" s="167"/>
    </row>
    <row r="577" spans="1:16" s="38" customFormat="1">
      <c r="A577" s="92"/>
      <c r="B577" s="72" t="s">
        <v>86</v>
      </c>
      <c r="C577" s="239"/>
      <c r="D577" s="92"/>
      <c r="E577" s="96"/>
      <c r="F577" s="96"/>
      <c r="G577" s="95"/>
      <c r="H577" s="66">
        <f t="shared" ref="H577:H582" si="100">I577+J577</f>
        <v>0</v>
      </c>
      <c r="I577" s="95"/>
      <c r="J577" s="268"/>
      <c r="M577" s="318"/>
      <c r="N577" s="166"/>
      <c r="O577" s="167"/>
      <c r="P577" s="167"/>
    </row>
    <row r="578" spans="1:16" s="38" customFormat="1">
      <c r="A578" s="92"/>
      <c r="B578" s="72" t="s">
        <v>85</v>
      </c>
      <c r="C578" s="239"/>
      <c r="D578" s="92"/>
      <c r="E578" s="96"/>
      <c r="F578" s="96"/>
      <c r="G578" s="95"/>
      <c r="H578" s="66">
        <f t="shared" si="100"/>
        <v>0</v>
      </c>
      <c r="I578" s="122"/>
      <c r="J578" s="268"/>
      <c r="M578" s="318"/>
      <c r="N578" s="166"/>
      <c r="O578" s="167"/>
      <c r="P578" s="167"/>
    </row>
    <row r="579" spans="1:16" s="38" customFormat="1">
      <c r="A579" s="92"/>
      <c r="B579" s="72" t="s">
        <v>87</v>
      </c>
      <c r="C579" s="239"/>
      <c r="D579" s="92"/>
      <c r="E579" s="96"/>
      <c r="F579" s="96">
        <f>F576</f>
        <v>87151.6</v>
      </c>
      <c r="G579" s="95">
        <f>G576</f>
        <v>425300</v>
      </c>
      <c r="H579" s="66">
        <f t="shared" si="100"/>
        <v>5300</v>
      </c>
      <c r="I579" s="122"/>
      <c r="J579" s="268">
        <v>5300</v>
      </c>
      <c r="M579" s="318"/>
      <c r="N579" s="166"/>
      <c r="O579" s="167"/>
      <c r="P579" s="167"/>
    </row>
    <row r="580" spans="1:16" s="38" customFormat="1">
      <c r="A580" s="92"/>
      <c r="B580" s="72" t="s">
        <v>31</v>
      </c>
      <c r="C580" s="239"/>
      <c r="D580" s="92"/>
      <c r="E580" s="96"/>
      <c r="F580" s="96"/>
      <c r="G580" s="95"/>
      <c r="H580" s="66">
        <f t="shared" si="100"/>
        <v>0</v>
      </c>
      <c r="I580" s="122"/>
      <c r="J580" s="268"/>
      <c r="M580" s="318"/>
      <c r="N580" s="166"/>
      <c r="O580" s="167"/>
      <c r="P580" s="167"/>
    </row>
    <row r="581" spans="1:16" s="38" customFormat="1">
      <c r="A581" s="92"/>
      <c r="B581" s="72" t="s">
        <v>32</v>
      </c>
      <c r="C581" s="239"/>
      <c r="D581" s="92"/>
      <c r="E581" s="96"/>
      <c r="F581" s="96">
        <v>86065.5</v>
      </c>
      <c r="G581" s="95">
        <f>H581</f>
        <v>361921.4</v>
      </c>
      <c r="H581" s="66">
        <f t="shared" si="100"/>
        <v>361921.4</v>
      </c>
      <c r="I581" s="66"/>
      <c r="J581" s="258">
        <v>361921.4</v>
      </c>
      <c r="M581" s="258">
        <v>58078.6</v>
      </c>
      <c r="N581" s="166"/>
      <c r="O581" s="167"/>
      <c r="P581" s="167"/>
    </row>
    <row r="582" spans="1:16" s="38" customFormat="1">
      <c r="A582" s="92"/>
      <c r="B582" s="72" t="s">
        <v>33</v>
      </c>
      <c r="C582" s="251"/>
      <c r="D582" s="92"/>
      <c r="E582" s="96"/>
      <c r="F582" s="96"/>
      <c r="G582" s="95"/>
      <c r="H582" s="66">
        <f t="shared" si="100"/>
        <v>0</v>
      </c>
      <c r="I582" s="66"/>
      <c r="J582" s="258"/>
      <c r="M582" s="318"/>
      <c r="N582" s="166"/>
      <c r="O582" s="167"/>
      <c r="P582" s="167"/>
    </row>
    <row r="583" spans="1:16" s="38" customFormat="1" ht="44.25" customHeight="1">
      <c r="A583" s="192">
        <v>6</v>
      </c>
      <c r="B583" s="191" t="s">
        <v>170</v>
      </c>
      <c r="C583" s="239" t="s">
        <v>362</v>
      </c>
      <c r="D583" s="92" t="s">
        <v>80</v>
      </c>
      <c r="E583" s="190">
        <v>88732</v>
      </c>
      <c r="F583" s="190">
        <v>87473.021582733825</v>
      </c>
      <c r="G583" s="190">
        <v>486350</v>
      </c>
      <c r="H583" s="95"/>
      <c r="I583" s="95"/>
      <c r="J583" s="268"/>
      <c r="M583" s="286"/>
      <c r="N583" s="166"/>
      <c r="O583" s="167"/>
      <c r="P583" s="167"/>
    </row>
    <row r="584" spans="1:16" s="38" customFormat="1">
      <c r="A584" s="192"/>
      <c r="B584" s="72" t="s">
        <v>86</v>
      </c>
      <c r="C584" s="250"/>
      <c r="D584" s="92"/>
      <c r="E584" s="96"/>
      <c r="F584" s="96"/>
      <c r="G584" s="193"/>
      <c r="H584" s="66">
        <f t="shared" ref="H584:H589" si="101">I584+J584</f>
        <v>0</v>
      </c>
      <c r="I584" s="95"/>
      <c r="J584" s="268"/>
      <c r="M584" s="318"/>
      <c r="N584" s="166"/>
      <c r="O584" s="167"/>
      <c r="P584" s="167"/>
    </row>
    <row r="585" spans="1:16" s="38" customFormat="1">
      <c r="A585" s="192"/>
      <c r="B585" s="72" t="s">
        <v>85</v>
      </c>
      <c r="C585" s="239"/>
      <c r="D585" s="92"/>
      <c r="E585" s="96"/>
      <c r="F585" s="96"/>
      <c r="G585" s="95"/>
      <c r="H585" s="66">
        <f t="shared" si="101"/>
        <v>0</v>
      </c>
      <c r="I585" s="95"/>
      <c r="J585" s="268"/>
      <c r="M585" s="318"/>
      <c r="N585" s="166"/>
      <c r="O585" s="167"/>
      <c r="P585" s="167"/>
    </row>
    <row r="586" spans="1:16" s="38" customFormat="1">
      <c r="A586" s="192"/>
      <c r="B586" s="72" t="s">
        <v>87</v>
      </c>
      <c r="C586" s="239"/>
      <c r="D586" s="92"/>
      <c r="E586" s="96"/>
      <c r="F586" s="96"/>
      <c r="G586" s="95"/>
      <c r="H586" s="66">
        <f t="shared" si="101"/>
        <v>0</v>
      </c>
      <c r="I586" s="95"/>
      <c r="J586" s="268"/>
      <c r="M586" s="318"/>
      <c r="N586" s="166"/>
      <c r="O586" s="167"/>
      <c r="P586" s="167"/>
    </row>
    <row r="587" spans="1:16" s="38" customFormat="1">
      <c r="A587" s="192"/>
      <c r="B587" s="72" t="s">
        <v>31</v>
      </c>
      <c r="C587" s="239"/>
      <c r="D587" s="92"/>
      <c r="E587" s="96"/>
      <c r="F587" s="96"/>
      <c r="G587" s="95"/>
      <c r="H587" s="66">
        <f t="shared" si="101"/>
        <v>0</v>
      </c>
      <c r="I587" s="95"/>
      <c r="J587" s="268"/>
      <c r="M587" s="318"/>
      <c r="N587" s="166"/>
      <c r="O587" s="167"/>
      <c r="P587" s="167"/>
    </row>
    <row r="588" spans="1:16" s="38" customFormat="1">
      <c r="A588" s="192"/>
      <c r="B588" s="72" t="s">
        <v>32</v>
      </c>
      <c r="C588" s="239"/>
      <c r="D588" s="92"/>
      <c r="E588" s="96"/>
      <c r="F588" s="190">
        <v>87473.021582733825</v>
      </c>
      <c r="G588" s="190">
        <v>486350</v>
      </c>
      <c r="H588" s="66">
        <f t="shared" si="101"/>
        <v>0</v>
      </c>
      <c r="I588" s="122"/>
      <c r="J588" s="268"/>
      <c r="L588" s="38">
        <v>156452.5</v>
      </c>
      <c r="M588" s="268">
        <v>135650</v>
      </c>
      <c r="N588" s="166"/>
      <c r="O588" s="167"/>
      <c r="P588" s="167"/>
    </row>
    <row r="589" spans="1:16" s="38" customFormat="1">
      <c r="A589" s="192"/>
      <c r="B589" s="72" t="s">
        <v>33</v>
      </c>
      <c r="C589" s="239"/>
      <c r="D589" s="92"/>
      <c r="E589" s="96"/>
      <c r="F589" s="190">
        <v>63075.5</v>
      </c>
      <c r="G589" s="190">
        <v>350700</v>
      </c>
      <c r="H589" s="66">
        <f t="shared" si="101"/>
        <v>154383.9</v>
      </c>
      <c r="I589" s="66"/>
      <c r="J589" s="258">
        <v>154383.9</v>
      </c>
      <c r="M589" s="268">
        <v>196316.1</v>
      </c>
      <c r="N589" s="166"/>
      <c r="O589" s="167"/>
      <c r="P589" s="167"/>
    </row>
    <row r="590" spans="1:16" s="38" customFormat="1" ht="25.5">
      <c r="A590" s="192">
        <v>7</v>
      </c>
      <c r="B590" s="191" t="s">
        <v>131</v>
      </c>
      <c r="C590" s="239" t="s">
        <v>292</v>
      </c>
      <c r="D590" s="92" t="s">
        <v>225</v>
      </c>
      <c r="E590" s="96"/>
      <c r="F590" s="96"/>
      <c r="G590" s="95"/>
      <c r="H590" s="95"/>
      <c r="I590" s="95"/>
      <c r="J590" s="268"/>
      <c r="M590" s="286"/>
      <c r="N590" s="166"/>
      <c r="O590" s="167"/>
      <c r="P590" s="167"/>
    </row>
    <row r="591" spans="1:16" s="38" customFormat="1">
      <c r="A591" s="192"/>
      <c r="B591" s="72" t="s">
        <v>86</v>
      </c>
      <c r="C591" s="250"/>
      <c r="D591" s="92"/>
      <c r="E591" s="96"/>
      <c r="F591" s="96"/>
      <c r="G591" s="193"/>
      <c r="H591" s="95">
        <f t="shared" ref="H591:H596" si="102">I591+J591</f>
        <v>1084</v>
      </c>
      <c r="I591" s="95"/>
      <c r="J591" s="268">
        <v>1084</v>
      </c>
      <c r="M591" s="318"/>
      <c r="N591" s="166"/>
      <c r="O591" s="167"/>
      <c r="P591" s="167"/>
    </row>
    <row r="592" spans="1:16" s="38" customFormat="1">
      <c r="A592" s="192"/>
      <c r="B592" s="72" t="s">
        <v>85</v>
      </c>
      <c r="C592" s="239"/>
      <c r="D592" s="92"/>
      <c r="E592" s="96"/>
      <c r="F592" s="96"/>
      <c r="G592" s="95"/>
      <c r="H592" s="66">
        <f t="shared" si="102"/>
        <v>39000</v>
      </c>
      <c r="I592" s="95"/>
      <c r="J592" s="268">
        <v>39000</v>
      </c>
      <c r="M592" s="318"/>
      <c r="N592" s="166"/>
      <c r="O592" s="167"/>
      <c r="P592" s="167"/>
    </row>
    <row r="593" spans="1:16" s="38" customFormat="1">
      <c r="A593" s="192"/>
      <c r="B593" s="72" t="s">
        <v>87</v>
      </c>
      <c r="C593" s="239"/>
      <c r="D593" s="92"/>
      <c r="E593" s="96"/>
      <c r="F593" s="96"/>
      <c r="G593" s="95"/>
      <c r="H593" s="66">
        <f t="shared" si="102"/>
        <v>59000</v>
      </c>
      <c r="I593" s="95"/>
      <c r="J593" s="268">
        <v>59000</v>
      </c>
      <c r="M593" s="318"/>
      <c r="N593" s="166"/>
      <c r="O593" s="167"/>
      <c r="P593" s="167"/>
    </row>
    <row r="594" spans="1:16" s="38" customFormat="1">
      <c r="A594" s="192"/>
      <c r="B594" s="72" t="s">
        <v>31</v>
      </c>
      <c r="C594" s="239"/>
      <c r="D594" s="92"/>
      <c r="E594" s="96"/>
      <c r="F594" s="96"/>
      <c r="G594" s="95"/>
      <c r="H594" s="66">
        <f t="shared" si="102"/>
        <v>36000</v>
      </c>
      <c r="I594" s="95"/>
      <c r="J594" s="268">
        <v>36000</v>
      </c>
      <c r="L594" s="38">
        <v>59315.1</v>
      </c>
      <c r="M594" s="318"/>
      <c r="N594" s="166"/>
      <c r="O594" s="167"/>
      <c r="P594" s="167"/>
    </row>
    <row r="595" spans="1:16" s="38" customFormat="1">
      <c r="A595" s="192"/>
      <c r="B595" s="72" t="s">
        <v>32</v>
      </c>
      <c r="C595" s="239"/>
      <c r="D595" s="92"/>
      <c r="E595" s="96"/>
      <c r="F595" s="96"/>
      <c r="G595" s="95"/>
      <c r="H595" s="66">
        <f t="shared" si="102"/>
        <v>22000</v>
      </c>
      <c r="I595" s="95"/>
      <c r="J595" s="268">
        <v>22000</v>
      </c>
      <c r="M595" s="318"/>
      <c r="N595" s="166"/>
      <c r="O595" s="167"/>
      <c r="P595" s="167"/>
    </row>
    <row r="596" spans="1:16" s="38" customFormat="1">
      <c r="A596" s="192"/>
      <c r="B596" s="72" t="s">
        <v>33</v>
      </c>
      <c r="C596" s="239"/>
      <c r="D596" s="92"/>
      <c r="E596" s="96"/>
      <c r="F596" s="96"/>
      <c r="G596" s="95"/>
      <c r="H596" s="66">
        <f t="shared" si="102"/>
        <v>42000</v>
      </c>
      <c r="I596" s="95"/>
      <c r="J596" s="268">
        <v>42000</v>
      </c>
      <c r="M596" s="318"/>
      <c r="N596" s="166"/>
      <c r="O596" s="167"/>
      <c r="P596" s="167"/>
    </row>
    <row r="597" spans="1:16" s="38" customFormat="1" ht="80.25" customHeight="1">
      <c r="A597" s="192">
        <v>8</v>
      </c>
      <c r="B597" s="124" t="s">
        <v>203</v>
      </c>
      <c r="C597" s="239" t="s">
        <v>244</v>
      </c>
      <c r="D597" s="92" t="s">
        <v>50</v>
      </c>
      <c r="E597" s="96"/>
      <c r="F597" s="96"/>
      <c r="G597" s="95"/>
      <c r="H597" s="95"/>
      <c r="I597" s="95"/>
      <c r="J597" s="268"/>
      <c r="M597" s="286"/>
      <c r="N597" s="166"/>
      <c r="O597" s="167"/>
      <c r="P597" s="167"/>
    </row>
    <row r="598" spans="1:16" s="38" customFormat="1" ht="16.5" customHeight="1">
      <c r="A598" s="192"/>
      <c r="B598" s="72" t="s">
        <v>86</v>
      </c>
      <c r="C598" s="250"/>
      <c r="D598" s="92"/>
      <c r="E598" s="96"/>
      <c r="F598" s="96"/>
      <c r="G598" s="193"/>
      <c r="H598" s="66">
        <f t="shared" ref="H598:H603" si="103">I598+J598</f>
        <v>0</v>
      </c>
      <c r="I598" s="95"/>
      <c r="J598" s="268"/>
      <c r="M598" s="318"/>
      <c r="N598" s="166"/>
      <c r="O598" s="167"/>
      <c r="P598" s="167"/>
    </row>
    <row r="599" spans="1:16" s="38" customFormat="1">
      <c r="A599" s="192"/>
      <c r="B599" s="72" t="s">
        <v>85</v>
      </c>
      <c r="C599" s="239"/>
      <c r="D599" s="92"/>
      <c r="E599" s="96"/>
      <c r="F599" s="96"/>
      <c r="G599" s="95"/>
      <c r="H599" s="66">
        <f t="shared" si="103"/>
        <v>29500</v>
      </c>
      <c r="I599" s="95"/>
      <c r="J599" s="268">
        <v>29500</v>
      </c>
      <c r="M599" s="318"/>
      <c r="N599" s="166"/>
      <c r="O599" s="167"/>
      <c r="P599" s="167"/>
    </row>
    <row r="600" spans="1:16" s="38" customFormat="1">
      <c r="A600" s="192"/>
      <c r="B600" s="72" t="s">
        <v>87</v>
      </c>
      <c r="C600" s="239"/>
      <c r="D600" s="92"/>
      <c r="E600" s="96"/>
      <c r="F600" s="96"/>
      <c r="G600" s="95"/>
      <c r="H600" s="66">
        <f t="shared" si="103"/>
        <v>0</v>
      </c>
      <c r="I600" s="95"/>
      <c r="J600" s="268"/>
      <c r="M600" s="318"/>
      <c r="N600" s="166"/>
      <c r="O600" s="167"/>
      <c r="P600" s="167"/>
    </row>
    <row r="601" spans="1:16" s="38" customFormat="1">
      <c r="A601" s="192"/>
      <c r="B601" s="72" t="s">
        <v>31</v>
      </c>
      <c r="C601" s="239"/>
      <c r="D601" s="92"/>
      <c r="E601" s="96"/>
      <c r="F601" s="96"/>
      <c r="G601" s="95"/>
      <c r="H601" s="66">
        <f t="shared" si="103"/>
        <v>0</v>
      </c>
      <c r="I601" s="95"/>
      <c r="J601" s="268"/>
      <c r="M601" s="318"/>
      <c r="N601" s="166"/>
      <c r="O601" s="167"/>
      <c r="P601" s="167"/>
    </row>
    <row r="602" spans="1:16" s="38" customFormat="1">
      <c r="A602" s="192"/>
      <c r="B602" s="72" t="s">
        <v>32</v>
      </c>
      <c r="C602" s="239"/>
      <c r="D602" s="92"/>
      <c r="E602" s="96"/>
      <c r="F602" s="96"/>
      <c r="G602" s="95"/>
      <c r="H602" s="66">
        <f t="shared" si="103"/>
        <v>0</v>
      </c>
      <c r="I602" s="95"/>
      <c r="J602" s="268"/>
      <c r="M602" s="318"/>
      <c r="N602" s="166"/>
      <c r="O602" s="167"/>
      <c r="P602" s="167"/>
    </row>
    <row r="603" spans="1:16" s="38" customFormat="1">
      <c r="A603" s="192"/>
      <c r="B603" s="72" t="s">
        <v>33</v>
      </c>
      <c r="C603" s="239"/>
      <c r="D603" s="92"/>
      <c r="E603" s="96"/>
      <c r="F603" s="96"/>
      <c r="G603" s="95"/>
      <c r="H603" s="66">
        <f t="shared" si="103"/>
        <v>0</v>
      </c>
      <c r="I603" s="95"/>
      <c r="J603" s="268"/>
      <c r="M603" s="318"/>
      <c r="N603" s="166"/>
      <c r="O603" s="167"/>
      <c r="P603" s="167"/>
    </row>
    <row r="604" spans="1:16" s="38" customFormat="1" ht="29.25" customHeight="1">
      <c r="A604" s="31"/>
      <c r="B604" s="44" t="s">
        <v>267</v>
      </c>
      <c r="C604" s="343"/>
      <c r="D604" s="46"/>
      <c r="E604" s="47"/>
      <c r="F604" s="47"/>
      <c r="G604" s="47"/>
      <c r="H604" s="48">
        <f>H606+H607+H608+H609+H610</f>
        <v>1534969.4</v>
      </c>
      <c r="I604" s="48">
        <f t="shared" ref="I604:M604" si="104">I606+I607+I608+I609+I610</f>
        <v>129412.2</v>
      </c>
      <c r="J604" s="48">
        <f t="shared" si="104"/>
        <v>1405557.2000000002</v>
      </c>
      <c r="K604" s="48">
        <f t="shared" si="104"/>
        <v>1792727.8</v>
      </c>
      <c r="L604" s="48">
        <f t="shared" si="104"/>
        <v>0</v>
      </c>
      <c r="M604" s="48">
        <f t="shared" si="104"/>
        <v>437116.30000000005</v>
      </c>
      <c r="N604" s="166"/>
      <c r="O604" s="167"/>
      <c r="P604" s="167"/>
    </row>
    <row r="605" spans="1:16" s="38" customFormat="1" ht="16.5" customHeight="1">
      <c r="A605" s="31"/>
      <c r="B605" s="44" t="s">
        <v>86</v>
      </c>
      <c r="C605" s="343"/>
      <c r="D605" s="46"/>
      <c r="E605" s="47"/>
      <c r="F605" s="47"/>
      <c r="G605" s="47"/>
      <c r="H605" s="49">
        <f t="shared" ref="H605:I605" si="105">H549+H556+H563+H570+H577+H584+H591+H598</f>
        <v>317063.3</v>
      </c>
      <c r="I605" s="49">
        <f t="shared" si="105"/>
        <v>301682</v>
      </c>
      <c r="J605" s="286">
        <f>J549+J556+J563+J570+J577+J584+J591+J598</f>
        <v>15381.3</v>
      </c>
      <c r="K605" s="269">
        <f>'[1]капстр (с краевыми)'!$J$239-J605</f>
        <v>329288.3</v>
      </c>
      <c r="M605" s="286">
        <f>M549+M556+M563+M570+M577+M584+M591+M598</f>
        <v>0</v>
      </c>
      <c r="N605" s="166"/>
      <c r="O605" s="167"/>
      <c r="P605" s="167"/>
    </row>
    <row r="606" spans="1:16" s="38" customFormat="1">
      <c r="A606" s="31"/>
      <c r="B606" s="44" t="s">
        <v>85</v>
      </c>
      <c r="C606" s="343"/>
      <c r="D606" s="46"/>
      <c r="E606" s="46"/>
      <c r="F606" s="47"/>
      <c r="G606" s="47"/>
      <c r="H606" s="49">
        <f t="shared" ref="H606:J610" si="106">H550+H557+H564+H571+H578+H585+H592+H599</f>
        <v>389246.3</v>
      </c>
      <c r="I606" s="49">
        <f t="shared" si="106"/>
        <v>129412.2</v>
      </c>
      <c r="J606" s="286">
        <f t="shared" si="106"/>
        <v>259834.1</v>
      </c>
      <c r="K606" s="269">
        <f>J606-'[1]капстр (с краевыми)'!$J$240</f>
        <v>-50565.899999999994</v>
      </c>
      <c r="M606" s="286">
        <f t="shared" ref="M606" si="107">M550+M557+M564+M571+M578+M585+M592+M599</f>
        <v>0</v>
      </c>
      <c r="N606" s="166"/>
      <c r="O606" s="167"/>
      <c r="P606" s="167"/>
    </row>
    <row r="607" spans="1:16" s="38" customFormat="1">
      <c r="A607" s="31"/>
      <c r="B607" s="44" t="s">
        <v>87</v>
      </c>
      <c r="C607" s="343"/>
      <c r="D607" s="46"/>
      <c r="E607" s="46"/>
      <c r="F607" s="47"/>
      <c r="G607" s="47"/>
      <c r="H607" s="49">
        <f t="shared" si="106"/>
        <v>283693.7</v>
      </c>
      <c r="I607" s="49">
        <f t="shared" si="106"/>
        <v>0</v>
      </c>
      <c r="J607" s="286">
        <f t="shared" si="106"/>
        <v>283693.7</v>
      </c>
      <c r="K607" s="269">
        <f>J607-'[1]капстр (с краевыми)'!$J$241</f>
        <v>-26706.299999999988</v>
      </c>
      <c r="M607" s="286">
        <f t="shared" ref="M607" si="108">M551+M558+M565+M572+M579+M586+M593+M600</f>
        <v>0</v>
      </c>
      <c r="N607" s="166"/>
      <c r="O607" s="167"/>
      <c r="P607" s="167"/>
    </row>
    <row r="608" spans="1:16" s="38" customFormat="1">
      <c r="A608" s="31"/>
      <c r="B608" s="44" t="s">
        <v>31</v>
      </c>
      <c r="C608" s="343"/>
      <c r="D608" s="46"/>
      <c r="E608" s="46"/>
      <c r="F608" s="47"/>
      <c r="G608" s="47"/>
      <c r="H608" s="49">
        <f t="shared" si="106"/>
        <v>146000</v>
      </c>
      <c r="I608" s="49">
        <f t="shared" si="106"/>
        <v>0</v>
      </c>
      <c r="J608" s="286">
        <f t="shared" si="106"/>
        <v>146000</v>
      </c>
      <c r="K608" s="269">
        <v>560000</v>
      </c>
      <c r="M608" s="286">
        <f t="shared" ref="M608" si="109">M552+M559+M566+M573+M580+M587+M594+M601</f>
        <v>0</v>
      </c>
      <c r="N608" s="166"/>
      <c r="O608" s="167"/>
      <c r="P608" s="167"/>
    </row>
    <row r="609" spans="1:16" s="38" customFormat="1">
      <c r="A609" s="31"/>
      <c r="B609" s="44" t="s">
        <v>32</v>
      </c>
      <c r="C609" s="343"/>
      <c r="D609" s="46"/>
      <c r="E609" s="46"/>
      <c r="F609" s="47"/>
      <c r="G609" s="47"/>
      <c r="H609" s="47">
        <f t="shared" si="106"/>
        <v>409921.4</v>
      </c>
      <c r="I609" s="47">
        <f t="shared" si="106"/>
        <v>0</v>
      </c>
      <c r="J609" s="296">
        <f t="shared" si="106"/>
        <v>409921.4</v>
      </c>
      <c r="K609" s="272">
        <v>600000</v>
      </c>
      <c r="M609" s="296">
        <f t="shared" ref="M609" si="110">M553+M560+M567+M574+M581+M588+M595+M602</f>
        <v>240800.2</v>
      </c>
      <c r="N609" s="166"/>
      <c r="O609" s="167"/>
      <c r="P609" s="167"/>
    </row>
    <row r="610" spans="1:16" s="38" customFormat="1">
      <c r="A610" s="31"/>
      <c r="B610" s="44" t="s">
        <v>33</v>
      </c>
      <c r="C610" s="343"/>
      <c r="D610" s="46"/>
      <c r="E610" s="46"/>
      <c r="F610" s="47"/>
      <c r="G610" s="47"/>
      <c r="H610" s="47">
        <f t="shared" si="106"/>
        <v>306108</v>
      </c>
      <c r="I610" s="47">
        <f t="shared" si="106"/>
        <v>0</v>
      </c>
      <c r="J610" s="296">
        <f t="shared" si="106"/>
        <v>306108</v>
      </c>
      <c r="K610" s="272">
        <v>710000</v>
      </c>
      <c r="M610" s="296">
        <f t="shared" ref="M610" si="111">M554+M561+M568+M575+M582+M589+M596+M603</f>
        <v>196316.1</v>
      </c>
      <c r="N610" s="166"/>
      <c r="O610" s="167"/>
      <c r="P610" s="167"/>
    </row>
    <row r="611" spans="1:16" s="38" customFormat="1" ht="31.5">
      <c r="A611" s="67"/>
      <c r="B611" s="73" t="s">
        <v>13</v>
      </c>
      <c r="C611" s="60"/>
      <c r="D611" s="134"/>
      <c r="E611" s="134"/>
      <c r="F611" s="134"/>
      <c r="G611" s="136"/>
      <c r="H611" s="137"/>
      <c r="I611" s="137"/>
      <c r="J611" s="287"/>
      <c r="M611" s="318"/>
      <c r="N611" s="166"/>
      <c r="O611" s="167"/>
      <c r="P611" s="167"/>
    </row>
    <row r="612" spans="1:16" s="38" customFormat="1" ht="31.5" customHeight="1">
      <c r="A612" s="194">
        <v>1</v>
      </c>
      <c r="B612" s="130" t="s">
        <v>92</v>
      </c>
      <c r="C612" s="239" t="s">
        <v>93</v>
      </c>
      <c r="D612" s="92" t="s">
        <v>94</v>
      </c>
      <c r="E612" s="92">
        <v>6173.6</v>
      </c>
      <c r="F612" s="190">
        <f>F613</f>
        <v>222.91366906474823</v>
      </c>
      <c r="G612" s="122"/>
      <c r="H612" s="122"/>
      <c r="I612" s="122"/>
      <c r="J612" s="278"/>
      <c r="M612" s="286"/>
      <c r="N612" s="166"/>
      <c r="O612" s="167"/>
      <c r="P612" s="167"/>
    </row>
    <row r="613" spans="1:16" s="38" customFormat="1">
      <c r="A613" s="194"/>
      <c r="B613" s="72" t="s">
        <v>86</v>
      </c>
      <c r="C613" s="252"/>
      <c r="D613" s="189"/>
      <c r="E613" s="189" t="s">
        <v>95</v>
      </c>
      <c r="F613" s="70">
        <f>G613/C4</f>
        <v>222.91366906474823</v>
      </c>
      <c r="G613" s="66">
        <f>H613</f>
        <v>1239.4000000000001</v>
      </c>
      <c r="H613" s="66">
        <f t="shared" ref="H613:H618" si="112">I613+J613</f>
        <v>1239.4000000000001</v>
      </c>
      <c r="I613" s="122"/>
      <c r="J613" s="275">
        <v>1239.4000000000001</v>
      </c>
      <c r="M613" s="318"/>
      <c r="N613" s="166"/>
      <c r="O613" s="167"/>
      <c r="P613" s="167"/>
    </row>
    <row r="614" spans="1:16" s="38" customFormat="1">
      <c r="A614" s="92"/>
      <c r="B614" s="72" t="s">
        <v>85</v>
      </c>
      <c r="C614" s="241"/>
      <c r="D614" s="80"/>
      <c r="E614" s="80"/>
      <c r="F614" s="140"/>
      <c r="G614" s="141"/>
      <c r="H614" s="66">
        <f t="shared" si="112"/>
        <v>0</v>
      </c>
      <c r="I614" s="186"/>
      <c r="J614" s="275"/>
      <c r="M614" s="318"/>
      <c r="N614" s="166"/>
      <c r="O614" s="167"/>
      <c r="P614" s="167"/>
    </row>
    <row r="615" spans="1:16" s="38" customFormat="1">
      <c r="A615" s="92"/>
      <c r="B615" s="72" t="s">
        <v>87</v>
      </c>
      <c r="C615" s="241"/>
      <c r="D615" s="80"/>
      <c r="E615" s="80"/>
      <c r="F615" s="140"/>
      <c r="G615" s="141"/>
      <c r="H615" s="66">
        <f t="shared" si="112"/>
        <v>0</v>
      </c>
      <c r="I615" s="186"/>
      <c r="J615" s="275"/>
      <c r="M615" s="318"/>
      <c r="N615" s="166"/>
      <c r="O615" s="167"/>
      <c r="P615" s="167"/>
    </row>
    <row r="616" spans="1:16" s="38" customFormat="1">
      <c r="A616" s="92"/>
      <c r="B616" s="72" t="s">
        <v>31</v>
      </c>
      <c r="C616" s="241"/>
      <c r="D616" s="80"/>
      <c r="E616" s="80"/>
      <c r="F616" s="140"/>
      <c r="G616" s="141"/>
      <c r="H616" s="66">
        <f t="shared" si="112"/>
        <v>0</v>
      </c>
      <c r="I616" s="186"/>
      <c r="J616" s="278"/>
      <c r="M616" s="318"/>
      <c r="N616" s="166"/>
      <c r="O616" s="167"/>
      <c r="P616" s="167"/>
    </row>
    <row r="617" spans="1:16" s="38" customFormat="1">
      <c r="A617" s="92"/>
      <c r="B617" s="72" t="s">
        <v>32</v>
      </c>
      <c r="C617" s="252"/>
      <c r="D617" s="189"/>
      <c r="E617" s="189"/>
      <c r="F617" s="140"/>
      <c r="G617" s="141"/>
      <c r="H617" s="66">
        <f t="shared" si="112"/>
        <v>0</v>
      </c>
      <c r="I617" s="122"/>
      <c r="J617" s="278"/>
      <c r="M617" s="318"/>
      <c r="N617" s="166"/>
      <c r="O617" s="167"/>
      <c r="P617" s="167"/>
    </row>
    <row r="618" spans="1:16" s="38" customFormat="1">
      <c r="A618" s="92"/>
      <c r="B618" s="72" t="s">
        <v>33</v>
      </c>
      <c r="C618" s="252"/>
      <c r="D618" s="189"/>
      <c r="E618" s="189"/>
      <c r="F618" s="140"/>
      <c r="G618" s="141"/>
      <c r="H618" s="66">
        <f t="shared" si="112"/>
        <v>0</v>
      </c>
      <c r="I618" s="122"/>
      <c r="J618" s="278"/>
      <c r="M618" s="318"/>
      <c r="N618" s="166"/>
      <c r="O618" s="167"/>
      <c r="P618" s="167"/>
    </row>
    <row r="619" spans="1:16" s="38" customFormat="1" ht="61.5" customHeight="1">
      <c r="A619" s="194">
        <v>2</v>
      </c>
      <c r="B619" s="130" t="s">
        <v>96</v>
      </c>
      <c r="C619" s="353" t="s">
        <v>245</v>
      </c>
      <c r="D619" s="92" t="s">
        <v>84</v>
      </c>
      <c r="E619" s="190">
        <f>F619</f>
        <v>3485.2843439534086</v>
      </c>
      <c r="F619" s="190">
        <f>F620</f>
        <v>3485.2843439534086</v>
      </c>
      <c r="G619" s="122"/>
      <c r="H619" s="122"/>
      <c r="I619" s="122"/>
      <c r="J619" s="278"/>
      <c r="M619" s="286"/>
      <c r="N619" s="166"/>
      <c r="O619" s="167"/>
      <c r="P619" s="167"/>
    </row>
    <row r="620" spans="1:16" s="38" customFormat="1">
      <c r="A620" s="194"/>
      <c r="B620" s="72" t="s">
        <v>86</v>
      </c>
      <c r="C620" s="252"/>
      <c r="D620" s="189"/>
      <c r="E620" s="189" t="s">
        <v>37</v>
      </c>
      <c r="F620" s="66">
        <f>G620/C4</f>
        <v>3485.2843439534086</v>
      </c>
      <c r="G620" s="66">
        <f>F621*C4+H620</f>
        <v>19378.18095238095</v>
      </c>
      <c r="H620" s="66">
        <f t="shared" ref="H620:H625" si="113">I620+J620</f>
        <v>14309.8</v>
      </c>
      <c r="I620" s="122"/>
      <c r="J620" s="278">
        <v>14309.8</v>
      </c>
      <c r="M620" s="318"/>
      <c r="N620" s="166"/>
      <c r="O620" s="167"/>
      <c r="P620" s="167"/>
    </row>
    <row r="621" spans="1:16" s="38" customFormat="1">
      <c r="A621" s="194"/>
      <c r="B621" s="72" t="s">
        <v>85</v>
      </c>
      <c r="C621" s="60"/>
      <c r="D621" s="68"/>
      <c r="E621" s="74"/>
      <c r="F621" s="66">
        <f>G621/D4</f>
        <v>911.5793079821857</v>
      </c>
      <c r="G621" s="66">
        <f>H621</f>
        <v>5321.8</v>
      </c>
      <c r="H621" s="66">
        <f t="shared" si="113"/>
        <v>5321.8</v>
      </c>
      <c r="I621" s="122"/>
      <c r="J621" s="278">
        <v>5321.8</v>
      </c>
      <c r="M621" s="318"/>
      <c r="N621" s="166"/>
      <c r="O621" s="167"/>
      <c r="P621" s="167"/>
    </row>
    <row r="622" spans="1:16" s="38" customFormat="1">
      <c r="A622" s="194"/>
      <c r="B622" s="72" t="s">
        <v>87</v>
      </c>
      <c r="C622" s="60"/>
      <c r="D622" s="68"/>
      <c r="E622" s="74"/>
      <c r="F622" s="140"/>
      <c r="G622" s="141"/>
      <c r="H622" s="66">
        <f t="shared" si="113"/>
        <v>0</v>
      </c>
      <c r="I622" s="122"/>
      <c r="J622" s="278"/>
      <c r="M622" s="318"/>
      <c r="N622" s="166"/>
      <c r="O622" s="167"/>
      <c r="P622" s="167"/>
    </row>
    <row r="623" spans="1:16" s="38" customFormat="1">
      <c r="A623" s="194"/>
      <c r="B623" s="72" t="s">
        <v>31</v>
      </c>
      <c r="C623" s="60"/>
      <c r="D623" s="68"/>
      <c r="E623" s="74"/>
      <c r="F623" s="140"/>
      <c r="G623" s="141"/>
      <c r="H623" s="66">
        <f t="shared" si="113"/>
        <v>0</v>
      </c>
      <c r="I623" s="122"/>
      <c r="J623" s="278"/>
      <c r="M623" s="318"/>
      <c r="N623" s="166"/>
      <c r="O623" s="167"/>
      <c r="P623" s="167"/>
    </row>
    <row r="624" spans="1:16" s="38" customFormat="1">
      <c r="A624" s="194"/>
      <c r="B624" s="72" t="s">
        <v>32</v>
      </c>
      <c r="C624" s="60"/>
      <c r="D624" s="68"/>
      <c r="E624" s="74"/>
      <c r="F624" s="140"/>
      <c r="G624" s="141"/>
      <c r="H624" s="66">
        <f t="shared" si="113"/>
        <v>0</v>
      </c>
      <c r="I624" s="122"/>
      <c r="J624" s="278"/>
      <c r="M624" s="318"/>
      <c r="N624" s="166"/>
      <c r="O624" s="167"/>
      <c r="P624" s="167"/>
    </row>
    <row r="625" spans="1:16" s="38" customFormat="1">
      <c r="A625" s="194"/>
      <c r="B625" s="72" t="s">
        <v>33</v>
      </c>
      <c r="C625" s="60"/>
      <c r="D625" s="68"/>
      <c r="E625" s="74"/>
      <c r="F625" s="140"/>
      <c r="G625" s="141"/>
      <c r="H625" s="66">
        <f t="shared" si="113"/>
        <v>0</v>
      </c>
      <c r="I625" s="122"/>
      <c r="J625" s="278"/>
      <c r="M625" s="318"/>
      <c r="N625" s="166"/>
      <c r="O625" s="167"/>
      <c r="P625" s="167"/>
    </row>
    <row r="626" spans="1:16" s="38" customFormat="1" ht="24.75" customHeight="1">
      <c r="A626" s="194">
        <v>3</v>
      </c>
      <c r="B626" s="195" t="s">
        <v>97</v>
      </c>
      <c r="C626" s="239" t="s">
        <v>98</v>
      </c>
      <c r="D626" s="92" t="s">
        <v>246</v>
      </c>
      <c r="E626" s="92">
        <v>66282.399999999994</v>
      </c>
      <c r="F626" s="190">
        <f>F627</f>
        <v>52383.038426907202</v>
      </c>
      <c r="G626" s="140"/>
      <c r="H626" s="113"/>
      <c r="I626" s="113"/>
      <c r="J626" s="275"/>
      <c r="M626" s="286"/>
      <c r="N626" s="166"/>
      <c r="O626" s="167"/>
      <c r="P626" s="167"/>
    </row>
    <row r="627" spans="1:16" s="38" customFormat="1">
      <c r="A627" s="194"/>
      <c r="B627" s="72" t="s">
        <v>86</v>
      </c>
      <c r="C627" s="252"/>
      <c r="D627" s="189"/>
      <c r="E627" s="189" t="s">
        <v>37</v>
      </c>
      <c r="F627" s="66">
        <f>G627/C4</f>
        <v>52383.038426907202</v>
      </c>
      <c r="G627" s="66">
        <f>F628*C4+H627</f>
        <v>291249.69365360402</v>
      </c>
      <c r="H627" s="66">
        <f t="shared" ref="H627:H631" si="114">I627+J627</f>
        <v>10000</v>
      </c>
      <c r="I627" s="122"/>
      <c r="J627" s="278">
        <v>10000</v>
      </c>
      <c r="M627" s="318"/>
      <c r="N627" s="166"/>
      <c r="O627" s="167"/>
      <c r="P627" s="167"/>
    </row>
    <row r="628" spans="1:16" s="38" customFormat="1">
      <c r="A628" s="194"/>
      <c r="B628" s="72" t="s">
        <v>85</v>
      </c>
      <c r="C628" s="60"/>
      <c r="D628" s="68"/>
      <c r="E628" s="74"/>
      <c r="F628" s="66">
        <f>G628/D4</f>
        <v>50584.477275828067</v>
      </c>
      <c r="G628" s="66">
        <f>F629*D4+H628</f>
        <v>295312.17833628424</v>
      </c>
      <c r="H628" s="66">
        <f t="shared" si="114"/>
        <v>33000</v>
      </c>
      <c r="I628" s="122"/>
      <c r="J628" s="278">
        <v>33000</v>
      </c>
      <c r="M628" s="318"/>
      <c r="N628" s="166"/>
      <c r="O628" s="167"/>
      <c r="P628" s="167"/>
    </row>
    <row r="629" spans="1:16" s="38" customFormat="1">
      <c r="A629" s="194"/>
      <c r="B629" s="72" t="s">
        <v>87</v>
      </c>
      <c r="C629" s="60"/>
      <c r="D629" s="68"/>
      <c r="E629" s="74"/>
      <c r="F629" s="66">
        <f>G629/E4</f>
        <v>44931.856515293635</v>
      </c>
      <c r="G629" s="66">
        <f>F630*E4+H629</f>
        <v>280674.03081982414</v>
      </c>
      <c r="H629" s="66">
        <f t="shared" si="114"/>
        <v>97000</v>
      </c>
      <c r="I629" s="122"/>
      <c r="J629" s="278">
        <v>97000</v>
      </c>
      <c r="M629" s="318"/>
      <c r="N629" s="166"/>
      <c r="O629" s="167"/>
      <c r="P629" s="167"/>
    </row>
    <row r="630" spans="1:16" s="38" customFormat="1">
      <c r="A630" s="194"/>
      <c r="B630" s="72" t="s">
        <v>31</v>
      </c>
      <c r="C630" s="60"/>
      <c r="D630" s="68"/>
      <c r="E630" s="74"/>
      <c r="F630" s="66">
        <f>G630/F4</f>
        <v>29403.558192670022</v>
      </c>
      <c r="G630" s="66">
        <f>F631*F4+H630</f>
        <v>196163.86491557219</v>
      </c>
      <c r="H630" s="66">
        <f t="shared" si="114"/>
        <v>19680</v>
      </c>
      <c r="I630" s="122"/>
      <c r="J630" s="278">
        <v>19680</v>
      </c>
      <c r="M630" s="318"/>
      <c r="N630" s="166"/>
      <c r="O630" s="167"/>
      <c r="P630" s="167"/>
    </row>
    <row r="631" spans="1:16" s="38" customFormat="1">
      <c r="A631" s="194"/>
      <c r="B631" s="72" t="s">
        <v>32</v>
      </c>
      <c r="C631" s="60"/>
      <c r="D631" s="68"/>
      <c r="E631" s="74"/>
      <c r="F631" s="66">
        <f>G631/G4</f>
        <v>26453.667164162816</v>
      </c>
      <c r="G631" s="66">
        <f>H631</f>
        <v>188131.8</v>
      </c>
      <c r="H631" s="66">
        <f t="shared" si="114"/>
        <v>188131.8</v>
      </c>
      <c r="I631" s="122"/>
      <c r="J631" s="278">
        <v>188131.8</v>
      </c>
      <c r="M631" s="318"/>
      <c r="N631" s="166"/>
      <c r="O631" s="167"/>
      <c r="P631" s="167"/>
    </row>
    <row r="632" spans="1:16" s="38" customFormat="1">
      <c r="A632" s="194"/>
      <c r="B632" s="72" t="s">
        <v>33</v>
      </c>
      <c r="C632" s="60"/>
      <c r="D632" s="68"/>
      <c r="E632" s="74"/>
      <c r="F632" s="158"/>
      <c r="G632" s="141"/>
      <c r="H632" s="66"/>
      <c r="I632" s="122"/>
      <c r="J632" s="278"/>
      <c r="M632" s="318"/>
      <c r="N632" s="166"/>
      <c r="O632" s="167"/>
      <c r="P632" s="167"/>
    </row>
    <row r="633" spans="1:16" s="38" customFormat="1" ht="36.75" customHeight="1">
      <c r="A633" s="194">
        <v>4</v>
      </c>
      <c r="B633" s="196" t="s">
        <v>100</v>
      </c>
      <c r="C633" s="239" t="s">
        <v>101</v>
      </c>
      <c r="D633" s="92" t="s">
        <v>102</v>
      </c>
      <c r="E633" s="190">
        <v>121280</v>
      </c>
      <c r="F633" s="190">
        <v>121260.9</v>
      </c>
      <c r="G633" s="140"/>
      <c r="H633" s="113"/>
      <c r="I633" s="113"/>
      <c r="J633" s="275"/>
      <c r="M633" s="286"/>
      <c r="N633" s="166"/>
      <c r="O633" s="167"/>
      <c r="P633" s="167"/>
    </row>
    <row r="634" spans="1:16" s="38" customFormat="1">
      <c r="A634" s="194"/>
      <c r="B634" s="72" t="s">
        <v>86</v>
      </c>
      <c r="C634" s="252"/>
      <c r="D634" s="189"/>
      <c r="E634" s="189" t="s">
        <v>37</v>
      </c>
      <c r="F634" s="189"/>
      <c r="G634" s="140"/>
      <c r="H634" s="66">
        <f t="shared" ref="H634:H639" si="115">I634+J634</f>
        <v>0</v>
      </c>
      <c r="I634" s="122"/>
      <c r="J634" s="278"/>
      <c r="M634" s="318"/>
      <c r="N634" s="166"/>
      <c r="O634" s="167"/>
      <c r="P634" s="167"/>
    </row>
    <row r="635" spans="1:16" s="38" customFormat="1">
      <c r="A635" s="194"/>
      <c r="B635" s="72" t="s">
        <v>85</v>
      </c>
      <c r="C635" s="60"/>
      <c r="D635" s="68"/>
      <c r="E635" s="80"/>
      <c r="F635" s="158"/>
      <c r="G635" s="141"/>
      <c r="H635" s="66">
        <f t="shared" si="115"/>
        <v>0</v>
      </c>
      <c r="I635" s="122"/>
      <c r="J635" s="278"/>
      <c r="M635" s="318"/>
      <c r="N635" s="166"/>
      <c r="O635" s="167"/>
      <c r="P635" s="167"/>
    </row>
    <row r="636" spans="1:16" s="38" customFormat="1">
      <c r="A636" s="194"/>
      <c r="B636" s="72" t="s">
        <v>87</v>
      </c>
      <c r="C636" s="60"/>
      <c r="D636" s="68"/>
      <c r="E636" s="80"/>
      <c r="F636" s="158"/>
      <c r="G636" s="141"/>
      <c r="H636" s="66">
        <f t="shared" si="115"/>
        <v>0</v>
      </c>
      <c r="I636" s="122"/>
      <c r="J636" s="278"/>
      <c r="M636" s="318"/>
      <c r="N636" s="166"/>
      <c r="O636" s="167"/>
      <c r="P636" s="167"/>
    </row>
    <row r="637" spans="1:16" s="38" customFormat="1">
      <c r="A637" s="194"/>
      <c r="B637" s="72" t="s">
        <v>31</v>
      </c>
      <c r="C637" s="60"/>
      <c r="D637" s="68"/>
      <c r="E637" s="80"/>
      <c r="F637" s="158"/>
      <c r="G637" s="141"/>
      <c r="H637" s="66">
        <f t="shared" si="115"/>
        <v>0</v>
      </c>
      <c r="I637" s="122"/>
      <c r="J637" s="278"/>
      <c r="M637" s="318"/>
      <c r="N637" s="166"/>
      <c r="O637" s="167"/>
      <c r="P637" s="167"/>
    </row>
    <row r="638" spans="1:16" s="38" customFormat="1">
      <c r="A638" s="194"/>
      <c r="B638" s="72" t="s">
        <v>32</v>
      </c>
      <c r="C638" s="60"/>
      <c r="D638" s="68"/>
      <c r="E638" s="80"/>
      <c r="F638" s="66">
        <v>121260.9</v>
      </c>
      <c r="G638" s="66">
        <f>F638*G4</f>
        <v>862376.89636940602</v>
      </c>
      <c r="H638" s="66">
        <f t="shared" si="115"/>
        <v>0</v>
      </c>
      <c r="I638" s="122"/>
      <c r="J638" s="278"/>
      <c r="M638" s="278">
        <v>20782.099999999999</v>
      </c>
      <c r="N638" s="166"/>
      <c r="O638" s="167"/>
      <c r="P638" s="167"/>
    </row>
    <row r="639" spans="1:16" s="38" customFormat="1">
      <c r="A639" s="194"/>
      <c r="B639" s="72" t="s">
        <v>33</v>
      </c>
      <c r="C639" s="60"/>
      <c r="D639" s="68"/>
      <c r="E639" s="80"/>
      <c r="F639" s="66">
        <f>F638-H638/G4</f>
        <v>121260.9</v>
      </c>
      <c r="G639" s="66">
        <f>F639*H4</f>
        <v>917569.0177370481</v>
      </c>
      <c r="H639" s="66">
        <f t="shared" si="115"/>
        <v>0</v>
      </c>
      <c r="I639" s="122"/>
      <c r="J639" s="278"/>
      <c r="M639" s="278">
        <v>21904.3</v>
      </c>
      <c r="N639" s="166"/>
      <c r="O639" s="167"/>
      <c r="P639" s="167"/>
    </row>
    <row r="640" spans="1:16" s="38" customFormat="1" ht="36.75" customHeight="1">
      <c r="A640" s="194">
        <v>5</v>
      </c>
      <c r="B640" s="196" t="s">
        <v>171</v>
      </c>
      <c r="C640" s="239" t="s">
        <v>268</v>
      </c>
      <c r="D640" s="92" t="s">
        <v>40</v>
      </c>
      <c r="E640" s="190">
        <v>38047.4</v>
      </c>
      <c r="F640" s="190">
        <v>23655.377697841726</v>
      </c>
      <c r="G640" s="140"/>
      <c r="H640" s="113"/>
      <c r="I640" s="113"/>
      <c r="J640" s="275"/>
      <c r="M640" s="286"/>
      <c r="N640" s="166"/>
      <c r="O640" s="167"/>
      <c r="P640" s="167"/>
    </row>
    <row r="641" spans="1:16" s="38" customFormat="1">
      <c r="A641" s="194"/>
      <c r="B641" s="72" t="s">
        <v>86</v>
      </c>
      <c r="C641" s="241"/>
      <c r="D641" s="80"/>
      <c r="E641" s="189" t="s">
        <v>30</v>
      </c>
      <c r="F641" s="70">
        <f>G641/C4</f>
        <v>23655.377697841726</v>
      </c>
      <c r="G641" s="66">
        <v>131523.9</v>
      </c>
      <c r="H641" s="66">
        <f t="shared" ref="H641:H646" si="116">I641+J641</f>
        <v>131523.9</v>
      </c>
      <c r="I641" s="122"/>
      <c r="J641" s="278">
        <v>131523.9</v>
      </c>
      <c r="M641" s="318"/>
      <c r="N641" s="166"/>
      <c r="O641" s="167"/>
      <c r="P641" s="167"/>
    </row>
    <row r="642" spans="1:16" s="38" customFormat="1">
      <c r="A642" s="194"/>
      <c r="B642" s="72" t="s">
        <v>85</v>
      </c>
      <c r="C642" s="60"/>
      <c r="D642" s="68"/>
      <c r="E642" s="80"/>
      <c r="F642" s="158"/>
      <c r="G642" s="141"/>
      <c r="H642" s="66">
        <f t="shared" si="116"/>
        <v>0</v>
      </c>
      <c r="I642" s="122"/>
      <c r="J642" s="278"/>
      <c r="M642" s="318"/>
      <c r="N642" s="166"/>
      <c r="O642" s="167"/>
      <c r="P642" s="167"/>
    </row>
    <row r="643" spans="1:16" s="38" customFormat="1">
      <c r="A643" s="194"/>
      <c r="B643" s="72" t="s">
        <v>87</v>
      </c>
      <c r="C643" s="60"/>
      <c r="D643" s="68"/>
      <c r="E643" s="80"/>
      <c r="F643" s="158"/>
      <c r="G643" s="141"/>
      <c r="H643" s="66">
        <f t="shared" si="116"/>
        <v>0</v>
      </c>
      <c r="I643" s="122"/>
      <c r="J643" s="278"/>
      <c r="M643" s="318"/>
      <c r="N643" s="166"/>
      <c r="O643" s="167"/>
      <c r="P643" s="167"/>
    </row>
    <row r="644" spans="1:16" s="38" customFormat="1">
      <c r="A644" s="194"/>
      <c r="B644" s="72" t="s">
        <v>31</v>
      </c>
      <c r="C644" s="60"/>
      <c r="D644" s="68"/>
      <c r="E644" s="80"/>
      <c r="F644" s="158"/>
      <c r="G644" s="141"/>
      <c r="H644" s="66">
        <f t="shared" si="116"/>
        <v>0</v>
      </c>
      <c r="I644" s="122"/>
      <c r="J644" s="278"/>
      <c r="M644" s="318"/>
      <c r="N644" s="166"/>
      <c r="O644" s="167"/>
      <c r="P644" s="167"/>
    </row>
    <row r="645" spans="1:16" s="38" customFormat="1">
      <c r="A645" s="194"/>
      <c r="B645" s="72" t="s">
        <v>32</v>
      </c>
      <c r="C645" s="60"/>
      <c r="D645" s="68"/>
      <c r="E645" s="80"/>
      <c r="F645" s="158"/>
      <c r="G645" s="141"/>
      <c r="H645" s="66">
        <f t="shared" si="116"/>
        <v>0</v>
      </c>
      <c r="I645" s="122"/>
      <c r="J645" s="278"/>
      <c r="M645" s="318"/>
      <c r="N645" s="166"/>
      <c r="O645" s="167"/>
      <c r="P645" s="167"/>
    </row>
    <row r="646" spans="1:16" s="38" customFormat="1">
      <c r="A646" s="194"/>
      <c r="B646" s="72" t="s">
        <v>33</v>
      </c>
      <c r="C646" s="60"/>
      <c r="D646" s="68"/>
      <c r="E646" s="80"/>
      <c r="F646" s="158"/>
      <c r="G646" s="141"/>
      <c r="H646" s="66">
        <f t="shared" si="116"/>
        <v>0</v>
      </c>
      <c r="I646" s="122"/>
      <c r="J646" s="278"/>
      <c r="M646" s="318"/>
      <c r="N646" s="166"/>
      <c r="O646" s="167"/>
      <c r="P646" s="167"/>
    </row>
    <row r="647" spans="1:16" s="38" customFormat="1" ht="30.75" customHeight="1">
      <c r="A647" s="194">
        <v>6</v>
      </c>
      <c r="B647" s="196" t="s">
        <v>172</v>
      </c>
      <c r="C647" s="239" t="s">
        <v>269</v>
      </c>
      <c r="D647" s="92" t="s">
        <v>80</v>
      </c>
      <c r="E647" s="92">
        <v>38333.5</v>
      </c>
      <c r="F647" s="190">
        <f>F648</f>
        <v>27405.767766417692</v>
      </c>
      <c r="G647" s="140"/>
      <c r="H647" s="113"/>
      <c r="I647" s="113"/>
      <c r="J647" s="275"/>
      <c r="M647" s="286"/>
      <c r="N647" s="166"/>
      <c r="O647" s="167"/>
      <c r="P647" s="167"/>
    </row>
    <row r="648" spans="1:16" s="38" customFormat="1">
      <c r="A648" s="194"/>
      <c r="B648" s="72" t="s">
        <v>86</v>
      </c>
      <c r="C648" s="241"/>
      <c r="D648" s="80"/>
      <c r="E648" s="189" t="s">
        <v>37</v>
      </c>
      <c r="F648" s="70">
        <f>G648/C4</f>
        <v>27405.767766417692</v>
      </c>
      <c r="G648" s="66">
        <f>F653*C4-H648</f>
        <v>152376.06878128235</v>
      </c>
      <c r="H648" s="66">
        <f t="shared" ref="H648:H653" si="117">I648+J648</f>
        <v>658.3</v>
      </c>
      <c r="I648" s="122"/>
      <c r="J648" s="278">
        <v>658.3</v>
      </c>
      <c r="M648" s="318"/>
      <c r="N648" s="166"/>
      <c r="O648" s="167"/>
      <c r="P648" s="167"/>
    </row>
    <row r="649" spans="1:16" s="38" customFormat="1">
      <c r="A649" s="194"/>
      <c r="B649" s="72" t="s">
        <v>85</v>
      </c>
      <c r="C649" s="60"/>
      <c r="D649" s="68"/>
      <c r="E649" s="80"/>
      <c r="F649" s="158"/>
      <c r="G649" s="141"/>
      <c r="H649" s="66">
        <f t="shared" si="117"/>
        <v>0</v>
      </c>
      <c r="I649" s="122"/>
      <c r="J649" s="278"/>
      <c r="M649" s="318"/>
      <c r="N649" s="166"/>
      <c r="O649" s="167"/>
      <c r="P649" s="167"/>
    </row>
    <row r="650" spans="1:16" s="38" customFormat="1">
      <c r="A650" s="194"/>
      <c r="B650" s="72" t="s">
        <v>87</v>
      </c>
      <c r="C650" s="60"/>
      <c r="D650" s="68"/>
      <c r="E650" s="80"/>
      <c r="F650" s="158"/>
      <c r="G650" s="141"/>
      <c r="H650" s="66">
        <f t="shared" si="117"/>
        <v>0</v>
      </c>
      <c r="I650" s="122"/>
      <c r="J650" s="278"/>
      <c r="M650" s="318"/>
      <c r="N650" s="166"/>
      <c r="O650" s="167"/>
      <c r="P650" s="167"/>
    </row>
    <row r="651" spans="1:16" s="38" customFormat="1">
      <c r="A651" s="194"/>
      <c r="B651" s="72" t="s">
        <v>31</v>
      </c>
      <c r="C651" s="60"/>
      <c r="D651" s="68"/>
      <c r="E651" s="80"/>
      <c r="F651" s="134"/>
      <c r="G651" s="136"/>
      <c r="H651" s="66">
        <f t="shared" si="117"/>
        <v>0</v>
      </c>
      <c r="I651" s="137"/>
      <c r="J651" s="287"/>
      <c r="M651" s="318"/>
      <c r="N651" s="166"/>
      <c r="O651" s="167"/>
      <c r="P651" s="167"/>
    </row>
    <row r="652" spans="1:16" s="38" customFormat="1">
      <c r="A652" s="194"/>
      <c r="B652" s="72" t="s">
        <v>32</v>
      </c>
      <c r="C652" s="60"/>
      <c r="D652" s="68"/>
      <c r="E652" s="80"/>
      <c r="F652" s="157"/>
      <c r="G652" s="141"/>
      <c r="H652" s="66">
        <f t="shared" si="117"/>
        <v>0</v>
      </c>
      <c r="I652" s="186"/>
      <c r="J652" s="321"/>
      <c r="M652" s="318"/>
      <c r="N652" s="166"/>
      <c r="O652" s="167"/>
      <c r="P652" s="167"/>
    </row>
    <row r="653" spans="1:16" s="38" customFormat="1">
      <c r="A653" s="194"/>
      <c r="B653" s="72" t="s">
        <v>33</v>
      </c>
      <c r="C653" s="60"/>
      <c r="D653" s="68"/>
      <c r="E653" s="80"/>
      <c r="F653" s="66">
        <f>G653/H4</f>
        <v>27524.167046993225</v>
      </c>
      <c r="G653" s="66">
        <f>H653</f>
        <v>208272.6</v>
      </c>
      <c r="H653" s="66">
        <f t="shared" si="117"/>
        <v>208272.6</v>
      </c>
      <c r="I653" s="66"/>
      <c r="J653" s="258">
        <v>208272.6</v>
      </c>
      <c r="M653" s="318"/>
      <c r="N653" s="166"/>
      <c r="O653" s="167"/>
      <c r="P653" s="167"/>
    </row>
    <row r="654" spans="1:16" s="38" customFormat="1" ht="25.5">
      <c r="A654" s="194">
        <v>7</v>
      </c>
      <c r="B654" s="130" t="s">
        <v>173</v>
      </c>
      <c r="C654" s="239" t="s">
        <v>247</v>
      </c>
      <c r="D654" s="92" t="s">
        <v>248</v>
      </c>
      <c r="E654" s="190">
        <v>4956</v>
      </c>
      <c r="F654" s="190">
        <f>F655</f>
        <v>4707.9417874020482</v>
      </c>
      <c r="G654" s="140"/>
      <c r="H654" s="113"/>
      <c r="I654" s="113"/>
      <c r="J654" s="275"/>
      <c r="M654" s="286"/>
      <c r="N654" s="166"/>
      <c r="O654" s="167"/>
      <c r="P654" s="167"/>
    </row>
    <row r="655" spans="1:16" s="38" customFormat="1">
      <c r="A655" s="194"/>
      <c r="B655" s="72" t="s">
        <v>86</v>
      </c>
      <c r="C655" s="252"/>
      <c r="D655" s="189"/>
      <c r="E655" s="189" t="s">
        <v>37</v>
      </c>
      <c r="F655" s="70">
        <f>G655/C4</f>
        <v>4707.9417874020482</v>
      </c>
      <c r="G655" s="66">
        <f>F658*C4+H655</f>
        <v>26176.156337955388</v>
      </c>
      <c r="H655" s="66">
        <f t="shared" ref="H655:H660" si="118">I655+J655</f>
        <v>5121.2</v>
      </c>
      <c r="I655" s="122"/>
      <c r="J655" s="278">
        <v>5121.2</v>
      </c>
      <c r="M655" s="318"/>
      <c r="N655" s="166"/>
      <c r="O655" s="167"/>
      <c r="P655" s="167"/>
    </row>
    <row r="656" spans="1:16" s="38" customFormat="1">
      <c r="A656" s="194"/>
      <c r="B656" s="72" t="s">
        <v>85</v>
      </c>
      <c r="C656" s="60"/>
      <c r="D656" s="68"/>
      <c r="E656" s="80"/>
      <c r="F656" s="158"/>
      <c r="G656" s="141"/>
      <c r="H656" s="66">
        <f t="shared" si="118"/>
        <v>0</v>
      </c>
      <c r="I656" s="122"/>
      <c r="J656" s="278"/>
      <c r="M656" s="318"/>
      <c r="N656" s="166"/>
      <c r="O656" s="167"/>
      <c r="P656" s="167"/>
    </row>
    <row r="657" spans="1:16" s="38" customFormat="1">
      <c r="A657" s="194"/>
      <c r="B657" s="72" t="s">
        <v>87</v>
      </c>
      <c r="C657" s="60"/>
      <c r="D657" s="68"/>
      <c r="E657" s="80"/>
      <c r="F657" s="158"/>
      <c r="G657" s="141"/>
      <c r="H657" s="66">
        <f t="shared" si="118"/>
        <v>0</v>
      </c>
      <c r="I657" s="122"/>
      <c r="J657" s="278"/>
      <c r="M657" s="318"/>
      <c r="N657" s="166"/>
      <c r="O657" s="167"/>
      <c r="P657" s="167"/>
    </row>
    <row r="658" spans="1:16" s="38" customFormat="1">
      <c r="A658" s="194"/>
      <c r="B658" s="72" t="s">
        <v>31</v>
      </c>
      <c r="C658" s="60"/>
      <c r="D658" s="68"/>
      <c r="E658" s="80"/>
      <c r="F658" s="66">
        <f>G658/F4</f>
        <v>3786.8626507114009</v>
      </c>
      <c r="G658" s="66">
        <f>H658</f>
        <v>25263.8</v>
      </c>
      <c r="H658" s="66">
        <f t="shared" si="118"/>
        <v>25263.8</v>
      </c>
      <c r="I658" s="122"/>
      <c r="J658" s="278">
        <v>25263.8</v>
      </c>
      <c r="M658" s="318"/>
      <c r="N658" s="166"/>
      <c r="O658" s="167"/>
      <c r="P658" s="167"/>
    </row>
    <row r="659" spans="1:16" s="38" customFormat="1">
      <c r="A659" s="194"/>
      <c r="B659" s="72" t="s">
        <v>32</v>
      </c>
      <c r="C659" s="60"/>
      <c r="D659" s="68"/>
      <c r="E659" s="80"/>
      <c r="F659" s="158"/>
      <c r="G659" s="141"/>
      <c r="H659" s="66">
        <f t="shared" si="118"/>
        <v>0</v>
      </c>
      <c r="I659" s="122"/>
      <c r="J659" s="278"/>
      <c r="M659" s="318"/>
      <c r="N659" s="166"/>
      <c r="O659" s="167"/>
      <c r="P659" s="167"/>
    </row>
    <row r="660" spans="1:16" s="38" customFormat="1">
      <c r="A660" s="194"/>
      <c r="B660" s="72" t="s">
        <v>33</v>
      </c>
      <c r="C660" s="60"/>
      <c r="D660" s="68"/>
      <c r="E660" s="80"/>
      <c r="F660" s="158"/>
      <c r="G660" s="141"/>
      <c r="H660" s="66">
        <f t="shared" si="118"/>
        <v>0</v>
      </c>
      <c r="I660" s="122"/>
      <c r="J660" s="278"/>
      <c r="M660" s="318"/>
      <c r="N660" s="166"/>
      <c r="O660" s="167"/>
      <c r="P660" s="167"/>
    </row>
    <row r="661" spans="1:16" s="38" customFormat="1" ht="25.5">
      <c r="A661" s="194">
        <v>8</v>
      </c>
      <c r="B661" s="130" t="s">
        <v>145</v>
      </c>
      <c r="C661" s="239" t="s">
        <v>270</v>
      </c>
      <c r="D661" s="92" t="s">
        <v>248</v>
      </c>
      <c r="E661" s="190">
        <v>4613.6000000000004</v>
      </c>
      <c r="F661" s="190">
        <f>F662</f>
        <v>4396.522491881833</v>
      </c>
      <c r="G661" s="140"/>
      <c r="H661" s="113"/>
      <c r="I661" s="113"/>
      <c r="J661" s="275"/>
      <c r="M661" s="286"/>
      <c r="N661" s="166"/>
      <c r="O661" s="167"/>
      <c r="P661" s="167"/>
    </row>
    <row r="662" spans="1:16" s="38" customFormat="1">
      <c r="A662" s="194"/>
      <c r="B662" s="72" t="s">
        <v>86</v>
      </c>
      <c r="C662" s="252"/>
      <c r="D662" s="189"/>
      <c r="E662" s="189" t="s">
        <v>37</v>
      </c>
      <c r="F662" s="70">
        <f>G662/C4</f>
        <v>4396.522491881833</v>
      </c>
      <c r="G662" s="66">
        <f>F665*C4+H662</f>
        <v>24444.665054862991</v>
      </c>
      <c r="H662" s="66">
        <f t="shared" ref="H662:H667" si="119">I662+J662</f>
        <v>2895</v>
      </c>
      <c r="I662" s="122"/>
      <c r="J662" s="278">
        <v>2895</v>
      </c>
      <c r="M662" s="318"/>
      <c r="N662" s="166"/>
      <c r="O662" s="167"/>
      <c r="P662" s="167"/>
    </row>
    <row r="663" spans="1:16" s="38" customFormat="1">
      <c r="A663" s="194"/>
      <c r="B663" s="72" t="s">
        <v>85</v>
      </c>
      <c r="C663" s="60"/>
      <c r="D663" s="68"/>
      <c r="E663" s="80"/>
      <c r="F663" s="158"/>
      <c r="G663" s="141"/>
      <c r="H663" s="66">
        <f t="shared" si="119"/>
        <v>0</v>
      </c>
      <c r="I663" s="122"/>
      <c r="J663" s="278"/>
      <c r="M663" s="318"/>
      <c r="N663" s="166"/>
      <c r="O663" s="167"/>
      <c r="P663" s="167"/>
    </row>
    <row r="664" spans="1:16" s="38" customFormat="1">
      <c r="A664" s="194"/>
      <c r="B664" s="72" t="s">
        <v>87</v>
      </c>
      <c r="C664" s="60"/>
      <c r="D664" s="68"/>
      <c r="E664" s="80"/>
      <c r="F664" s="158"/>
      <c r="G664" s="141"/>
      <c r="H664" s="66">
        <f t="shared" si="119"/>
        <v>0</v>
      </c>
      <c r="I664" s="122"/>
      <c r="J664" s="278"/>
      <c r="M664" s="318"/>
      <c r="N664" s="166"/>
      <c r="O664" s="167"/>
      <c r="P664" s="167"/>
    </row>
    <row r="665" spans="1:16" s="38" customFormat="1">
      <c r="A665" s="194"/>
      <c r="B665" s="72" t="s">
        <v>31</v>
      </c>
      <c r="C665" s="60"/>
      <c r="D665" s="68"/>
      <c r="E665" s="80"/>
      <c r="F665" s="70">
        <f>G665/F4</f>
        <v>3875.8390386444235</v>
      </c>
      <c r="G665" s="66">
        <f>H665</f>
        <v>25857.4</v>
      </c>
      <c r="H665" s="66">
        <f t="shared" si="119"/>
        <v>25857.4</v>
      </c>
      <c r="I665" s="122"/>
      <c r="J665" s="278">
        <v>25857.4</v>
      </c>
      <c r="M665" s="318"/>
      <c r="N665" s="166"/>
      <c r="O665" s="167"/>
      <c r="P665" s="167"/>
    </row>
    <row r="666" spans="1:16" s="38" customFormat="1">
      <c r="A666" s="194"/>
      <c r="B666" s="72" t="s">
        <v>32</v>
      </c>
      <c r="C666" s="60"/>
      <c r="D666" s="68"/>
      <c r="E666" s="80"/>
      <c r="F666" s="158"/>
      <c r="G666" s="141"/>
      <c r="H666" s="66">
        <f t="shared" si="119"/>
        <v>0</v>
      </c>
      <c r="I666" s="122"/>
      <c r="J666" s="278"/>
      <c r="M666" s="318"/>
      <c r="N666" s="166"/>
      <c r="O666" s="167"/>
      <c r="P666" s="167"/>
    </row>
    <row r="667" spans="1:16" s="38" customFormat="1">
      <c r="A667" s="194"/>
      <c r="B667" s="72" t="s">
        <v>33</v>
      </c>
      <c r="C667" s="60"/>
      <c r="D667" s="68"/>
      <c r="E667" s="80"/>
      <c r="F667" s="158"/>
      <c r="G667" s="141"/>
      <c r="H667" s="66">
        <f t="shared" si="119"/>
        <v>0</v>
      </c>
      <c r="I667" s="122"/>
      <c r="J667" s="278"/>
      <c r="M667" s="318"/>
      <c r="N667" s="166"/>
      <c r="O667" s="167"/>
      <c r="P667" s="167"/>
    </row>
    <row r="668" spans="1:16" s="38" customFormat="1" ht="39" customHeight="1">
      <c r="A668" s="194">
        <v>9</v>
      </c>
      <c r="B668" s="130" t="s">
        <v>174</v>
      </c>
      <c r="C668" s="239" t="s">
        <v>271</v>
      </c>
      <c r="D668" s="92" t="s">
        <v>249</v>
      </c>
      <c r="E668" s="190">
        <v>49616.1</v>
      </c>
      <c r="F668" s="190">
        <f>F669</f>
        <v>29082.198885842812</v>
      </c>
      <c r="G668" s="140"/>
      <c r="H668" s="113"/>
      <c r="I668" s="113"/>
      <c r="J668" s="275"/>
      <c r="M668" s="286"/>
      <c r="N668" s="166"/>
      <c r="O668" s="167"/>
      <c r="P668" s="167"/>
    </row>
    <row r="669" spans="1:16" s="38" customFormat="1">
      <c r="A669" s="194"/>
      <c r="B669" s="72" t="s">
        <v>86</v>
      </c>
      <c r="C669" s="246"/>
      <c r="D669" s="80"/>
      <c r="E669" s="189" t="s">
        <v>37</v>
      </c>
      <c r="F669" s="70">
        <f>G669/C4</f>
        <v>29082.198885842812</v>
      </c>
      <c r="G669" s="66">
        <f>F670*C4+H669</f>
        <v>161697.02580528602</v>
      </c>
      <c r="H669" s="66">
        <f t="shared" ref="H669:H674" si="120">I669+J669</f>
        <v>800</v>
      </c>
      <c r="I669" s="122"/>
      <c r="J669" s="278">
        <v>800</v>
      </c>
      <c r="M669" s="318"/>
      <c r="N669" s="166"/>
      <c r="O669" s="167"/>
      <c r="P669" s="167"/>
    </row>
    <row r="670" spans="1:16" s="38" customFormat="1">
      <c r="A670" s="194"/>
      <c r="B670" s="72" t="s">
        <v>85</v>
      </c>
      <c r="C670" s="60"/>
      <c r="D670" s="68"/>
      <c r="E670" s="80"/>
      <c r="F670" s="70">
        <f>G670/D4</f>
        <v>28938.313993756477</v>
      </c>
      <c r="G670" s="66">
        <f>F671*D4+H670</f>
        <v>168941.87709555033</v>
      </c>
      <c r="H670" s="66">
        <f t="shared" si="120"/>
        <v>32420.7</v>
      </c>
      <c r="I670" s="122"/>
      <c r="J670" s="278">
        <v>32420.7</v>
      </c>
      <c r="M670" s="318"/>
      <c r="N670" s="166"/>
      <c r="O670" s="167"/>
      <c r="P670" s="167"/>
    </row>
    <row r="671" spans="1:16" s="38" customFormat="1">
      <c r="A671" s="194"/>
      <c r="B671" s="72" t="s">
        <v>87</v>
      </c>
      <c r="C671" s="60"/>
      <c r="D671" s="68"/>
      <c r="E671" s="80"/>
      <c r="F671" s="70">
        <f>G671/E4</f>
        <v>23384.922421300154</v>
      </c>
      <c r="G671" s="66">
        <f>F672*E4+H671</f>
        <v>146077.65949223883</v>
      </c>
      <c r="H671" s="66">
        <f t="shared" si="120"/>
        <v>50000</v>
      </c>
      <c r="I671" s="122"/>
      <c r="J671" s="278">
        <v>50000</v>
      </c>
      <c r="M671" s="318"/>
      <c r="N671" s="166"/>
      <c r="O671" s="167"/>
      <c r="P671" s="167"/>
    </row>
    <row r="672" spans="1:16" s="38" customFormat="1">
      <c r="A672" s="194"/>
      <c r="B672" s="72" t="s">
        <v>31</v>
      </c>
      <c r="C672" s="60"/>
      <c r="D672" s="68"/>
      <c r="E672" s="80"/>
      <c r="F672" s="70">
        <f>G672/F4</f>
        <v>15380.644935411694</v>
      </c>
      <c r="G672" s="66">
        <f>F673*F4+H672</f>
        <v>102610.94033771107</v>
      </c>
      <c r="H672" s="66">
        <f t="shared" si="120"/>
        <v>19596.400000000001</v>
      </c>
      <c r="I672" s="122"/>
      <c r="J672" s="278">
        <v>19596.400000000001</v>
      </c>
      <c r="M672" s="318"/>
      <c r="N672" s="166"/>
      <c r="O672" s="167"/>
      <c r="P672" s="167"/>
    </row>
    <row r="673" spans="1:16" s="38" customFormat="1">
      <c r="A673" s="194"/>
      <c r="B673" s="72" t="s">
        <v>32</v>
      </c>
      <c r="C673" s="60"/>
      <c r="D673" s="68"/>
      <c r="E673" s="80"/>
      <c r="F673" s="70">
        <f>G673/G4</f>
        <v>12443.28494806217</v>
      </c>
      <c r="G673" s="66">
        <f>H673</f>
        <v>88493.5</v>
      </c>
      <c r="H673" s="66">
        <f t="shared" si="120"/>
        <v>88493.5</v>
      </c>
      <c r="I673" s="122"/>
      <c r="J673" s="278">
        <f>109577.7-21084.2</f>
        <v>88493.5</v>
      </c>
      <c r="M673" s="318">
        <f>88493.5+21084.2</f>
        <v>109577.7</v>
      </c>
      <c r="N673" s="166"/>
      <c r="O673" s="167"/>
      <c r="P673" s="167"/>
    </row>
    <row r="674" spans="1:16" s="38" customFormat="1">
      <c r="A674" s="194"/>
      <c r="B674" s="72" t="s">
        <v>33</v>
      </c>
      <c r="C674" s="60"/>
      <c r="D674" s="68"/>
      <c r="E674" s="80"/>
      <c r="F674" s="158"/>
      <c r="G674" s="141"/>
      <c r="H674" s="66">
        <f t="shared" si="120"/>
        <v>0</v>
      </c>
      <c r="I674" s="113"/>
      <c r="J674" s="278"/>
      <c r="M674" s="318"/>
      <c r="N674" s="166"/>
      <c r="O674" s="167"/>
      <c r="P674" s="167"/>
    </row>
    <row r="675" spans="1:16" s="38" customFormat="1" ht="40.5" customHeight="1">
      <c r="A675" s="194">
        <v>10</v>
      </c>
      <c r="B675" s="130" t="s">
        <v>175</v>
      </c>
      <c r="C675" s="239" t="s">
        <v>273</v>
      </c>
      <c r="D675" s="92" t="s">
        <v>272</v>
      </c>
      <c r="E675" s="92">
        <v>61036.3</v>
      </c>
      <c r="F675" s="66">
        <v>17722.733812949642</v>
      </c>
      <c r="G675" s="66"/>
      <c r="H675" s="113"/>
      <c r="I675" s="113"/>
      <c r="J675" s="275"/>
      <c r="M675" s="286"/>
      <c r="N675" s="166"/>
      <c r="O675" s="167"/>
      <c r="P675" s="167"/>
    </row>
    <row r="676" spans="1:16" s="38" customFormat="1">
      <c r="A676" s="194"/>
      <c r="B676" s="72" t="s">
        <v>86</v>
      </c>
      <c r="C676" s="246"/>
      <c r="D676" s="80"/>
      <c r="E676" s="189" t="s">
        <v>30</v>
      </c>
      <c r="F676" s="66">
        <f>G676/C4</f>
        <v>17722.733812949642</v>
      </c>
      <c r="G676" s="66">
        <v>98538.4</v>
      </c>
      <c r="H676" s="66">
        <f t="shared" ref="H676:H681" si="121">I676+J676</f>
        <v>98528.4</v>
      </c>
      <c r="I676" s="122"/>
      <c r="J676" s="278">
        <v>98528.4</v>
      </c>
      <c r="M676" s="318"/>
      <c r="N676" s="166"/>
      <c r="O676" s="167"/>
      <c r="P676" s="167"/>
    </row>
    <row r="677" spans="1:16" s="38" customFormat="1">
      <c r="A677" s="194"/>
      <c r="B677" s="72" t="s">
        <v>85</v>
      </c>
      <c r="C677" s="60"/>
      <c r="D677" s="68"/>
      <c r="E677" s="80"/>
      <c r="F677" s="158"/>
      <c r="G677" s="141"/>
      <c r="H677" s="66">
        <f t="shared" si="121"/>
        <v>0</v>
      </c>
      <c r="I677" s="113"/>
      <c r="J677" s="278"/>
      <c r="M677" s="318"/>
      <c r="N677" s="166"/>
      <c r="O677" s="167"/>
      <c r="P677" s="167"/>
    </row>
    <row r="678" spans="1:16" s="38" customFormat="1">
      <c r="A678" s="194"/>
      <c r="B678" s="72" t="s">
        <v>87</v>
      </c>
      <c r="C678" s="60"/>
      <c r="D678" s="68"/>
      <c r="E678" s="80"/>
      <c r="F678" s="158"/>
      <c r="G678" s="141"/>
      <c r="H678" s="66">
        <f t="shared" si="121"/>
        <v>0</v>
      </c>
      <c r="I678" s="113"/>
      <c r="J678" s="278"/>
      <c r="M678" s="318"/>
      <c r="N678" s="166"/>
      <c r="O678" s="167"/>
      <c r="P678" s="167"/>
    </row>
    <row r="679" spans="1:16" s="38" customFormat="1">
      <c r="A679" s="194"/>
      <c r="B679" s="72" t="s">
        <v>31</v>
      </c>
      <c r="C679" s="60"/>
      <c r="D679" s="68"/>
      <c r="E679" s="80"/>
      <c r="F679" s="158"/>
      <c r="G679" s="141"/>
      <c r="H679" s="66">
        <f t="shared" si="121"/>
        <v>0</v>
      </c>
      <c r="I679" s="113"/>
      <c r="J679" s="278"/>
      <c r="M679" s="318"/>
      <c r="N679" s="166"/>
      <c r="O679" s="167"/>
      <c r="P679" s="167"/>
    </row>
    <row r="680" spans="1:16" s="38" customFormat="1">
      <c r="A680" s="194"/>
      <c r="B680" s="72" t="s">
        <v>32</v>
      </c>
      <c r="C680" s="60"/>
      <c r="D680" s="68"/>
      <c r="E680" s="80"/>
      <c r="F680" s="158"/>
      <c r="G680" s="141"/>
      <c r="H680" s="66">
        <f t="shared" si="121"/>
        <v>0</v>
      </c>
      <c r="I680" s="113"/>
      <c r="J680" s="278"/>
      <c r="M680" s="318"/>
      <c r="N680" s="166"/>
      <c r="O680" s="167"/>
      <c r="P680" s="167"/>
    </row>
    <row r="681" spans="1:16" s="38" customFormat="1">
      <c r="A681" s="194"/>
      <c r="B681" s="72" t="s">
        <v>33</v>
      </c>
      <c r="C681" s="60"/>
      <c r="D681" s="68"/>
      <c r="E681" s="80"/>
      <c r="F681" s="158"/>
      <c r="G681" s="141"/>
      <c r="H681" s="66">
        <f t="shared" si="121"/>
        <v>0</v>
      </c>
      <c r="I681" s="113"/>
      <c r="J681" s="278"/>
      <c r="M681" s="318"/>
      <c r="N681" s="166"/>
      <c r="O681" s="167"/>
      <c r="P681" s="167"/>
    </row>
    <row r="682" spans="1:16" s="38" customFormat="1" ht="35.25" customHeight="1">
      <c r="A682" s="194">
        <v>11</v>
      </c>
      <c r="B682" s="130" t="s">
        <v>146</v>
      </c>
      <c r="C682" s="239" t="s">
        <v>274</v>
      </c>
      <c r="D682" s="92" t="s">
        <v>35</v>
      </c>
      <c r="E682" s="92">
        <v>47974.5</v>
      </c>
      <c r="F682" s="70">
        <f>F683</f>
        <v>1602.9316546762591</v>
      </c>
      <c r="G682" s="140"/>
      <c r="H682" s="113"/>
      <c r="I682" s="113"/>
      <c r="J682" s="275"/>
      <c r="M682" s="286"/>
      <c r="N682" s="166"/>
      <c r="O682" s="167"/>
      <c r="P682" s="167"/>
    </row>
    <row r="683" spans="1:16" s="38" customFormat="1">
      <c r="A683" s="194"/>
      <c r="B683" s="72" t="s">
        <v>86</v>
      </c>
      <c r="C683" s="246"/>
      <c r="D683" s="80"/>
      <c r="E683" s="189"/>
      <c r="F683" s="70">
        <f>G683/C4</f>
        <v>1602.9316546762591</v>
      </c>
      <c r="G683" s="66">
        <f>H683</f>
        <v>8912.2999999999993</v>
      </c>
      <c r="H683" s="66">
        <f t="shared" ref="H683:H688" si="122">I683+J683</f>
        <v>8912.2999999999993</v>
      </c>
      <c r="I683" s="122"/>
      <c r="J683" s="278">
        <v>8912.2999999999993</v>
      </c>
      <c r="M683" s="318"/>
      <c r="N683" s="166"/>
      <c r="O683" s="167"/>
      <c r="P683" s="167"/>
    </row>
    <row r="684" spans="1:16" s="38" customFormat="1">
      <c r="A684" s="194"/>
      <c r="B684" s="72" t="s">
        <v>85</v>
      </c>
      <c r="C684" s="60"/>
      <c r="D684" s="68"/>
      <c r="E684" s="80"/>
      <c r="F684" s="158"/>
      <c r="G684" s="141"/>
      <c r="H684" s="66">
        <f t="shared" si="122"/>
        <v>0</v>
      </c>
      <c r="I684" s="122"/>
      <c r="J684" s="278"/>
      <c r="M684" s="318"/>
      <c r="N684" s="166"/>
      <c r="O684" s="167"/>
      <c r="P684" s="167"/>
    </row>
    <row r="685" spans="1:16" s="38" customFormat="1">
      <c r="A685" s="194"/>
      <c r="B685" s="72" t="s">
        <v>87</v>
      </c>
      <c r="C685" s="60"/>
      <c r="D685" s="68"/>
      <c r="E685" s="80"/>
      <c r="F685" s="158"/>
      <c r="G685" s="141"/>
      <c r="H685" s="66">
        <f t="shared" si="122"/>
        <v>0</v>
      </c>
      <c r="I685" s="122"/>
      <c r="J685" s="278"/>
      <c r="M685" s="318"/>
      <c r="N685" s="166"/>
      <c r="O685" s="167"/>
      <c r="P685" s="167"/>
    </row>
    <row r="686" spans="1:16" s="38" customFormat="1">
      <c r="A686" s="194"/>
      <c r="B686" s="72" t="s">
        <v>31</v>
      </c>
      <c r="C686" s="60"/>
      <c r="D686" s="68"/>
      <c r="E686" s="80"/>
      <c r="F686" s="158"/>
      <c r="G686" s="141"/>
      <c r="H686" s="66">
        <f t="shared" si="122"/>
        <v>0</v>
      </c>
      <c r="I686" s="122"/>
      <c r="J686" s="278"/>
      <c r="M686" s="318"/>
      <c r="N686" s="166"/>
      <c r="O686" s="167"/>
      <c r="P686" s="167"/>
    </row>
    <row r="687" spans="1:16" s="38" customFormat="1">
      <c r="A687" s="194"/>
      <c r="B687" s="72" t="s">
        <v>32</v>
      </c>
      <c r="C687" s="60"/>
      <c r="D687" s="68"/>
      <c r="E687" s="80"/>
      <c r="F687" s="158"/>
      <c r="G687" s="141"/>
      <c r="H687" s="66">
        <f t="shared" si="122"/>
        <v>0</v>
      </c>
      <c r="I687" s="122"/>
      <c r="J687" s="278"/>
      <c r="M687" s="318"/>
      <c r="N687" s="166"/>
      <c r="O687" s="167"/>
      <c r="P687" s="167"/>
    </row>
    <row r="688" spans="1:16" s="38" customFormat="1">
      <c r="A688" s="194"/>
      <c r="B688" s="72" t="s">
        <v>33</v>
      </c>
      <c r="C688" s="60"/>
      <c r="D688" s="68"/>
      <c r="E688" s="80"/>
      <c r="F688" s="158"/>
      <c r="G688" s="141"/>
      <c r="H688" s="66">
        <f t="shared" si="122"/>
        <v>0</v>
      </c>
      <c r="I688" s="122"/>
      <c r="J688" s="278"/>
      <c r="M688" s="318"/>
      <c r="N688" s="166"/>
      <c r="O688" s="167"/>
      <c r="P688" s="167"/>
    </row>
    <row r="689" spans="1:16" s="38" customFormat="1" ht="38.25">
      <c r="A689" s="194">
        <v>12</v>
      </c>
      <c r="B689" s="130" t="s">
        <v>361</v>
      </c>
      <c r="C689" s="239" t="s">
        <v>275</v>
      </c>
      <c r="D689" s="92" t="s">
        <v>35</v>
      </c>
      <c r="E689" s="92">
        <v>74369.8</v>
      </c>
      <c r="F689" s="190">
        <v>11478.758992805757</v>
      </c>
      <c r="G689" s="140"/>
      <c r="H689" s="113"/>
      <c r="I689" s="113"/>
      <c r="J689" s="275"/>
      <c r="M689" s="286"/>
      <c r="N689" s="166"/>
      <c r="O689" s="167"/>
      <c r="P689" s="167"/>
    </row>
    <row r="690" spans="1:16" s="38" customFormat="1">
      <c r="A690" s="194"/>
      <c r="B690" s="72" t="s">
        <v>86</v>
      </c>
      <c r="C690" s="246"/>
      <c r="D690" s="80"/>
      <c r="E690" s="189"/>
      <c r="F690" s="70">
        <f>G690/C4</f>
        <v>11478.758992805757</v>
      </c>
      <c r="G690" s="66">
        <v>63821.9</v>
      </c>
      <c r="H690" s="66">
        <f t="shared" ref="H690:H695" si="123">I690+J690</f>
        <v>63821.9</v>
      </c>
      <c r="I690" s="122"/>
      <c r="J690" s="278">
        <v>63821.9</v>
      </c>
      <c r="M690" s="318"/>
      <c r="N690" s="166"/>
      <c r="O690" s="167"/>
      <c r="P690" s="167"/>
    </row>
    <row r="691" spans="1:16" s="38" customFormat="1">
      <c r="A691" s="194"/>
      <c r="B691" s="72" t="s">
        <v>85</v>
      </c>
      <c r="C691" s="60"/>
      <c r="D691" s="68"/>
      <c r="E691" s="80"/>
      <c r="F691" s="158"/>
      <c r="G691" s="141"/>
      <c r="H691" s="66">
        <f t="shared" si="123"/>
        <v>0</v>
      </c>
      <c r="I691" s="113"/>
      <c r="J691" s="278"/>
      <c r="M691" s="318"/>
      <c r="N691" s="166"/>
      <c r="O691" s="167"/>
      <c r="P691" s="167"/>
    </row>
    <row r="692" spans="1:16" s="38" customFormat="1">
      <c r="A692" s="194"/>
      <c r="B692" s="72" t="s">
        <v>87</v>
      </c>
      <c r="C692" s="60"/>
      <c r="D692" s="68"/>
      <c r="E692" s="80"/>
      <c r="F692" s="158"/>
      <c r="G692" s="141"/>
      <c r="H692" s="66">
        <f t="shared" si="123"/>
        <v>0</v>
      </c>
      <c r="I692" s="113"/>
      <c r="J692" s="278"/>
      <c r="M692" s="318"/>
      <c r="N692" s="166"/>
      <c r="O692" s="167"/>
      <c r="P692" s="167"/>
    </row>
    <row r="693" spans="1:16" s="38" customFormat="1">
      <c r="A693" s="194"/>
      <c r="B693" s="72" t="s">
        <v>31</v>
      </c>
      <c r="C693" s="60"/>
      <c r="D693" s="68"/>
      <c r="E693" s="80"/>
      <c r="F693" s="158"/>
      <c r="G693" s="141"/>
      <c r="H693" s="66">
        <f t="shared" si="123"/>
        <v>0</v>
      </c>
      <c r="I693" s="113"/>
      <c r="J693" s="278"/>
      <c r="M693" s="318"/>
      <c r="N693" s="166"/>
      <c r="O693" s="167"/>
      <c r="P693" s="167"/>
    </row>
    <row r="694" spans="1:16" s="38" customFormat="1">
      <c r="A694" s="194"/>
      <c r="B694" s="72" t="s">
        <v>32</v>
      </c>
      <c r="C694" s="60"/>
      <c r="D694" s="68"/>
      <c r="E694" s="80"/>
      <c r="F694" s="158"/>
      <c r="G694" s="141"/>
      <c r="H694" s="66">
        <f t="shared" si="123"/>
        <v>0</v>
      </c>
      <c r="I694" s="113"/>
      <c r="J694" s="278"/>
      <c r="M694" s="318"/>
      <c r="N694" s="166"/>
      <c r="O694" s="167"/>
      <c r="P694" s="167"/>
    </row>
    <row r="695" spans="1:16" s="38" customFormat="1">
      <c r="A695" s="194"/>
      <c r="B695" s="72" t="s">
        <v>33</v>
      </c>
      <c r="C695" s="60"/>
      <c r="D695" s="68"/>
      <c r="E695" s="80"/>
      <c r="F695" s="158"/>
      <c r="G695" s="141"/>
      <c r="H695" s="66">
        <f t="shared" si="123"/>
        <v>0</v>
      </c>
      <c r="I695" s="122"/>
      <c r="J695" s="278"/>
      <c r="M695" s="318"/>
      <c r="N695" s="166"/>
      <c r="O695" s="167"/>
      <c r="P695" s="167"/>
    </row>
    <row r="696" spans="1:16" s="38" customFormat="1" ht="43.5" customHeight="1">
      <c r="A696" s="194">
        <v>13</v>
      </c>
      <c r="B696" s="357" t="s">
        <v>176</v>
      </c>
      <c r="C696" s="358" t="s">
        <v>276</v>
      </c>
      <c r="D696" s="359" t="s">
        <v>293</v>
      </c>
      <c r="E696" s="258">
        <v>44482.5</v>
      </c>
      <c r="F696" s="285">
        <f>F697</f>
        <v>71.942446043165475</v>
      </c>
      <c r="G696" s="258"/>
      <c r="H696" s="275"/>
      <c r="I696" s="275"/>
      <c r="J696" s="275"/>
      <c r="M696" s="286"/>
      <c r="N696" s="166"/>
      <c r="O696" s="167"/>
      <c r="P696" s="167"/>
    </row>
    <row r="697" spans="1:16" s="38" customFormat="1">
      <c r="A697" s="194"/>
      <c r="B697" s="360" t="s">
        <v>86</v>
      </c>
      <c r="C697" s="361"/>
      <c r="D697" s="362"/>
      <c r="E697" s="258"/>
      <c r="F697" s="285">
        <f>G697/C4</f>
        <v>71.942446043165475</v>
      </c>
      <c r="G697" s="258">
        <f>H697</f>
        <v>400</v>
      </c>
      <c r="H697" s="258">
        <f t="shared" ref="H697:H702" si="124">I697+J697</f>
        <v>400</v>
      </c>
      <c r="I697" s="278"/>
      <c r="J697" s="278">
        <v>400</v>
      </c>
      <c r="M697" s="318"/>
      <c r="N697" s="166"/>
      <c r="O697" s="167"/>
      <c r="P697" s="167"/>
    </row>
    <row r="698" spans="1:16" s="38" customFormat="1">
      <c r="A698" s="194"/>
      <c r="B698" s="360" t="s">
        <v>85</v>
      </c>
      <c r="C698" s="256"/>
      <c r="D698" s="354"/>
      <c r="E698" s="362"/>
      <c r="F698" s="363"/>
      <c r="G698" s="364"/>
      <c r="H698" s="258">
        <f t="shared" si="124"/>
        <v>0</v>
      </c>
      <c r="I698" s="278"/>
      <c r="J698" s="278"/>
      <c r="M698" s="318"/>
      <c r="N698" s="166"/>
      <c r="O698" s="167"/>
      <c r="P698" s="167"/>
    </row>
    <row r="699" spans="1:16" s="38" customFormat="1">
      <c r="A699" s="194"/>
      <c r="B699" s="360" t="s">
        <v>87</v>
      </c>
      <c r="C699" s="256"/>
      <c r="D699" s="354"/>
      <c r="E699" s="362"/>
      <c r="F699" s="363"/>
      <c r="G699" s="364"/>
      <c r="H699" s="258">
        <f t="shared" si="124"/>
        <v>0</v>
      </c>
      <c r="I699" s="278"/>
      <c r="J699" s="278"/>
      <c r="M699" s="318"/>
      <c r="N699" s="166"/>
      <c r="O699" s="167"/>
      <c r="P699" s="167"/>
    </row>
    <row r="700" spans="1:16" s="38" customFormat="1">
      <c r="A700" s="194"/>
      <c r="B700" s="360" t="s">
        <v>31</v>
      </c>
      <c r="C700" s="256"/>
      <c r="D700" s="354"/>
      <c r="E700" s="362"/>
      <c r="F700" s="365"/>
      <c r="G700" s="366"/>
      <c r="H700" s="258">
        <f t="shared" si="124"/>
        <v>0</v>
      </c>
      <c r="I700" s="287"/>
      <c r="J700" s="287"/>
      <c r="M700" s="318"/>
      <c r="N700" s="166"/>
      <c r="O700" s="167"/>
      <c r="P700" s="167"/>
    </row>
    <row r="701" spans="1:16" s="38" customFormat="1">
      <c r="A701" s="194"/>
      <c r="B701" s="360" t="s">
        <v>32</v>
      </c>
      <c r="C701" s="256"/>
      <c r="D701" s="354"/>
      <c r="E701" s="362"/>
      <c r="F701" s="367"/>
      <c r="G701" s="364"/>
      <c r="H701" s="258">
        <f t="shared" si="124"/>
        <v>0</v>
      </c>
      <c r="I701" s="321"/>
      <c r="J701" s="321"/>
      <c r="M701" s="318"/>
      <c r="N701" s="166"/>
      <c r="O701" s="167"/>
      <c r="P701" s="167"/>
    </row>
    <row r="702" spans="1:16" s="38" customFormat="1">
      <c r="A702" s="194"/>
      <c r="B702" s="360" t="s">
        <v>33</v>
      </c>
      <c r="C702" s="256"/>
      <c r="D702" s="354"/>
      <c r="E702" s="362"/>
      <c r="F702" s="363"/>
      <c r="G702" s="364"/>
      <c r="H702" s="258">
        <f t="shared" si="124"/>
        <v>0</v>
      </c>
      <c r="I702" s="278"/>
      <c r="J702" s="278"/>
      <c r="M702" s="318"/>
      <c r="N702" s="166"/>
      <c r="O702" s="167"/>
      <c r="P702" s="167"/>
    </row>
    <row r="703" spans="1:16" s="38" customFormat="1" ht="42" customHeight="1">
      <c r="A703" s="194">
        <v>14</v>
      </c>
      <c r="B703" s="357" t="s">
        <v>147</v>
      </c>
      <c r="C703" s="358" t="s">
        <v>277</v>
      </c>
      <c r="D703" s="359" t="s">
        <v>40</v>
      </c>
      <c r="E703" s="359">
        <v>16392.8</v>
      </c>
      <c r="F703" s="368">
        <f>F704</f>
        <v>4881.0971223021588</v>
      </c>
      <c r="G703" s="288"/>
      <c r="H703" s="275"/>
      <c r="I703" s="275"/>
      <c r="J703" s="275"/>
      <c r="M703" s="286"/>
      <c r="N703" s="166"/>
      <c r="O703" s="167"/>
      <c r="P703" s="167"/>
    </row>
    <row r="704" spans="1:16" s="38" customFormat="1">
      <c r="A704" s="194"/>
      <c r="B704" s="72" t="s">
        <v>86</v>
      </c>
      <c r="C704" s="246"/>
      <c r="D704" s="80"/>
      <c r="E704" s="189"/>
      <c r="F704" s="70">
        <f>G704/C4</f>
        <v>4881.0971223021588</v>
      </c>
      <c r="G704" s="66">
        <f>H704</f>
        <v>27138.9</v>
      </c>
      <c r="H704" s="66">
        <f t="shared" ref="H704:H709" si="125">I704+J704</f>
        <v>27138.9</v>
      </c>
      <c r="I704" s="122"/>
      <c r="J704" s="278">
        <v>27138.9</v>
      </c>
      <c r="M704" s="318"/>
      <c r="N704" s="166"/>
      <c r="O704" s="167"/>
      <c r="P704" s="167"/>
    </row>
    <row r="705" spans="1:16" s="38" customFormat="1">
      <c r="A705" s="194"/>
      <c r="B705" s="72" t="s">
        <v>85</v>
      </c>
      <c r="C705" s="60"/>
      <c r="D705" s="68"/>
      <c r="E705" s="80"/>
      <c r="F705" s="158"/>
      <c r="G705" s="141"/>
      <c r="H705" s="66">
        <f t="shared" si="125"/>
        <v>0</v>
      </c>
      <c r="I705" s="122"/>
      <c r="J705" s="278"/>
      <c r="M705" s="318"/>
      <c r="N705" s="166"/>
      <c r="O705" s="167"/>
      <c r="P705" s="167"/>
    </row>
    <row r="706" spans="1:16" s="38" customFormat="1">
      <c r="A706" s="194"/>
      <c r="B706" s="72" t="s">
        <v>87</v>
      </c>
      <c r="C706" s="60"/>
      <c r="D706" s="68"/>
      <c r="E706" s="80"/>
      <c r="F706" s="158"/>
      <c r="G706" s="141"/>
      <c r="H706" s="66">
        <f t="shared" si="125"/>
        <v>0</v>
      </c>
      <c r="I706" s="122"/>
      <c r="J706" s="278"/>
      <c r="M706" s="318"/>
      <c r="N706" s="166"/>
      <c r="O706" s="167"/>
      <c r="P706" s="167"/>
    </row>
    <row r="707" spans="1:16" s="38" customFormat="1">
      <c r="A707" s="194"/>
      <c r="B707" s="72" t="s">
        <v>31</v>
      </c>
      <c r="C707" s="60"/>
      <c r="D707" s="68"/>
      <c r="E707" s="80"/>
      <c r="F707" s="158"/>
      <c r="G707" s="141"/>
      <c r="H707" s="66">
        <f t="shared" si="125"/>
        <v>0</v>
      </c>
      <c r="I707" s="122"/>
      <c r="J707" s="278"/>
      <c r="M707" s="318"/>
      <c r="N707" s="166"/>
      <c r="O707" s="167"/>
      <c r="P707" s="167"/>
    </row>
    <row r="708" spans="1:16" s="38" customFormat="1">
      <c r="A708" s="194"/>
      <c r="B708" s="72" t="s">
        <v>32</v>
      </c>
      <c r="C708" s="60"/>
      <c r="D708" s="68"/>
      <c r="E708" s="80"/>
      <c r="F708" s="158"/>
      <c r="G708" s="141"/>
      <c r="H708" s="66">
        <f t="shared" si="125"/>
        <v>0</v>
      </c>
      <c r="I708" s="122"/>
      <c r="J708" s="278"/>
      <c r="M708" s="318"/>
      <c r="N708" s="166"/>
      <c r="O708" s="167"/>
      <c r="P708" s="167"/>
    </row>
    <row r="709" spans="1:16" s="38" customFormat="1">
      <c r="A709" s="194"/>
      <c r="B709" s="72" t="s">
        <v>33</v>
      </c>
      <c r="C709" s="60"/>
      <c r="D709" s="68"/>
      <c r="E709" s="80"/>
      <c r="F709" s="158"/>
      <c r="G709" s="141"/>
      <c r="H709" s="66">
        <f t="shared" si="125"/>
        <v>0</v>
      </c>
      <c r="I709" s="122"/>
      <c r="J709" s="278"/>
      <c r="M709" s="318"/>
      <c r="N709" s="166"/>
      <c r="O709" s="167"/>
      <c r="P709" s="167"/>
    </row>
    <row r="710" spans="1:16" s="38" customFormat="1" ht="44.25" customHeight="1">
      <c r="A710" s="194">
        <v>15</v>
      </c>
      <c r="B710" s="130" t="s">
        <v>157</v>
      </c>
      <c r="C710" s="239" t="s">
        <v>21</v>
      </c>
      <c r="D710" s="92">
        <v>2010</v>
      </c>
      <c r="E710" s="189"/>
      <c r="F710" s="189"/>
      <c r="G710" s="140"/>
      <c r="H710" s="113"/>
      <c r="I710" s="113"/>
      <c r="J710" s="275"/>
      <c r="M710" s="286"/>
      <c r="N710" s="166"/>
      <c r="O710" s="167"/>
      <c r="P710" s="167"/>
    </row>
    <row r="711" spans="1:16" s="38" customFormat="1">
      <c r="A711" s="194"/>
      <c r="B711" s="72" t="s">
        <v>86</v>
      </c>
      <c r="C711" s="246"/>
      <c r="D711" s="80"/>
      <c r="E711" s="189"/>
      <c r="F711" s="189"/>
      <c r="G711" s="70">
        <f>H711/C4</f>
        <v>322.3201438848921</v>
      </c>
      <c r="H711" s="66">
        <f t="shared" ref="H711:H716" si="126">I711+J711</f>
        <v>1792.1</v>
      </c>
      <c r="I711" s="122">
        <v>1792</v>
      </c>
      <c r="J711" s="278">
        <v>0.1</v>
      </c>
      <c r="M711" s="318"/>
      <c r="N711" s="166"/>
      <c r="O711" s="167"/>
      <c r="P711" s="167"/>
    </row>
    <row r="712" spans="1:16" s="38" customFormat="1">
      <c r="A712" s="194"/>
      <c r="B712" s="72" t="s">
        <v>85</v>
      </c>
      <c r="C712" s="60"/>
      <c r="D712" s="96"/>
      <c r="E712" s="80"/>
      <c r="F712" s="158"/>
      <c r="G712" s="141"/>
      <c r="H712" s="66">
        <f t="shared" si="126"/>
        <v>0</v>
      </c>
      <c r="I712" s="122"/>
      <c r="J712" s="278"/>
      <c r="M712" s="318"/>
      <c r="N712" s="166"/>
      <c r="O712" s="167"/>
      <c r="P712" s="167"/>
    </row>
    <row r="713" spans="1:16" s="38" customFormat="1">
      <c r="A713" s="194"/>
      <c r="B713" s="72" t="s">
        <v>87</v>
      </c>
      <c r="C713" s="60"/>
      <c r="D713" s="96"/>
      <c r="E713" s="80"/>
      <c r="F713" s="158"/>
      <c r="G713" s="141"/>
      <c r="H713" s="66">
        <f t="shared" si="126"/>
        <v>0</v>
      </c>
      <c r="I713" s="122"/>
      <c r="J713" s="278"/>
      <c r="M713" s="318"/>
      <c r="N713" s="166"/>
      <c r="O713" s="167"/>
      <c r="P713" s="167"/>
    </row>
    <row r="714" spans="1:16" s="38" customFormat="1">
      <c r="A714" s="194"/>
      <c r="B714" s="72" t="s">
        <v>31</v>
      </c>
      <c r="C714" s="60"/>
      <c r="D714" s="96"/>
      <c r="E714" s="80"/>
      <c r="F714" s="134"/>
      <c r="G714" s="136"/>
      <c r="H714" s="66">
        <f t="shared" si="126"/>
        <v>0</v>
      </c>
      <c r="I714" s="137"/>
      <c r="J714" s="287"/>
      <c r="M714" s="318"/>
      <c r="N714" s="166"/>
      <c r="O714" s="167"/>
      <c r="P714" s="167"/>
    </row>
    <row r="715" spans="1:16" s="38" customFormat="1">
      <c r="A715" s="194"/>
      <c r="B715" s="72" t="s">
        <v>32</v>
      </c>
      <c r="C715" s="60"/>
      <c r="D715" s="68"/>
      <c r="E715" s="80"/>
      <c r="F715" s="157"/>
      <c r="G715" s="141"/>
      <c r="H715" s="66"/>
      <c r="I715" s="186"/>
      <c r="J715" s="321"/>
      <c r="M715" s="318"/>
      <c r="N715" s="166"/>
      <c r="O715" s="167"/>
      <c r="P715" s="167"/>
    </row>
    <row r="716" spans="1:16" s="38" customFormat="1">
      <c r="A716" s="194"/>
      <c r="B716" s="72" t="s">
        <v>33</v>
      </c>
      <c r="C716" s="60"/>
      <c r="D716" s="68"/>
      <c r="E716" s="80"/>
      <c r="F716" s="158"/>
      <c r="G716" s="141"/>
      <c r="H716" s="66">
        <f t="shared" si="126"/>
        <v>0</v>
      </c>
      <c r="I716" s="122"/>
      <c r="J716" s="278"/>
      <c r="M716" s="318"/>
      <c r="N716" s="166"/>
      <c r="O716" s="167"/>
      <c r="P716" s="167"/>
    </row>
    <row r="717" spans="1:16" s="38" customFormat="1" ht="55.5" customHeight="1">
      <c r="A717" s="194">
        <v>16</v>
      </c>
      <c r="B717" s="130" t="s">
        <v>177</v>
      </c>
      <c r="C717" s="239" t="s">
        <v>21</v>
      </c>
      <c r="D717" s="92" t="s">
        <v>135</v>
      </c>
      <c r="E717" s="190">
        <f>F717</f>
        <v>6164.9283976475845</v>
      </c>
      <c r="F717" s="190">
        <f>F718</f>
        <v>6164.9283976475845</v>
      </c>
      <c r="G717" s="140"/>
      <c r="H717" s="113"/>
      <c r="I717" s="113"/>
      <c r="J717" s="275"/>
      <c r="M717" s="286"/>
      <c r="N717" s="166"/>
      <c r="O717" s="167"/>
      <c r="P717" s="167"/>
    </row>
    <row r="718" spans="1:16" s="38" customFormat="1">
      <c r="A718" s="194"/>
      <c r="B718" s="72" t="s">
        <v>86</v>
      </c>
      <c r="C718" s="246"/>
      <c r="D718" s="80"/>
      <c r="E718" s="189"/>
      <c r="F718" s="70">
        <f>G718/C4</f>
        <v>6164.9283976475845</v>
      </c>
      <c r="G718" s="70">
        <f>F722*C4+H718</f>
        <v>34277.001890920568</v>
      </c>
      <c r="H718" s="66">
        <f t="shared" ref="H718:H723" si="127">I718+J718</f>
        <v>3022</v>
      </c>
      <c r="I718" s="122"/>
      <c r="J718" s="278">
        <v>3022</v>
      </c>
      <c r="M718" s="318"/>
      <c r="N718" s="166"/>
      <c r="O718" s="167"/>
      <c r="P718" s="167"/>
    </row>
    <row r="719" spans="1:16" s="38" customFormat="1">
      <c r="A719" s="194"/>
      <c r="B719" s="72" t="s">
        <v>85</v>
      </c>
      <c r="C719" s="60"/>
      <c r="D719" s="68"/>
      <c r="E719" s="80"/>
      <c r="F719" s="158"/>
      <c r="G719" s="141"/>
      <c r="H719" s="66">
        <f t="shared" si="127"/>
        <v>0</v>
      </c>
      <c r="I719" s="122"/>
      <c r="J719" s="278"/>
      <c r="M719" s="318"/>
      <c r="N719" s="166"/>
      <c r="O719" s="167"/>
      <c r="P719" s="167"/>
    </row>
    <row r="720" spans="1:16" s="38" customFormat="1">
      <c r="A720" s="194"/>
      <c r="B720" s="72" t="s">
        <v>87</v>
      </c>
      <c r="C720" s="60"/>
      <c r="D720" s="68"/>
      <c r="E720" s="80"/>
      <c r="F720" s="158"/>
      <c r="G720" s="141"/>
      <c r="H720" s="66">
        <f t="shared" si="127"/>
        <v>0</v>
      </c>
      <c r="I720" s="122"/>
      <c r="J720" s="278"/>
      <c r="M720" s="318"/>
      <c r="N720" s="166"/>
      <c r="O720" s="167"/>
      <c r="P720" s="167"/>
    </row>
    <row r="721" spans="1:16" s="38" customFormat="1">
      <c r="A721" s="194"/>
      <c r="B721" s="72" t="s">
        <v>31</v>
      </c>
      <c r="C721" s="60"/>
      <c r="D721" s="68"/>
      <c r="E721" s="80"/>
      <c r="F721" s="158"/>
      <c r="G721" s="141"/>
      <c r="H721" s="66">
        <f t="shared" si="127"/>
        <v>0</v>
      </c>
      <c r="I721" s="122"/>
      <c r="J721" s="278"/>
      <c r="M721" s="318"/>
      <c r="N721" s="166"/>
      <c r="O721" s="167"/>
      <c r="P721" s="167"/>
    </row>
    <row r="722" spans="1:16" s="38" customFormat="1">
      <c r="A722" s="194"/>
      <c r="B722" s="72" t="s">
        <v>32</v>
      </c>
      <c r="C722" s="60"/>
      <c r="D722" s="68"/>
      <c r="E722" s="80"/>
      <c r="F722" s="70">
        <f>G722/G4</f>
        <v>5621.4032177914696</v>
      </c>
      <c r="G722" s="70">
        <f>H722</f>
        <v>39978</v>
      </c>
      <c r="H722" s="66">
        <f t="shared" si="127"/>
        <v>39978</v>
      </c>
      <c r="I722" s="122"/>
      <c r="J722" s="278">
        <v>39978</v>
      </c>
      <c r="M722" s="318"/>
      <c r="N722" s="166"/>
      <c r="O722" s="167"/>
      <c r="P722" s="167"/>
    </row>
    <row r="723" spans="1:16" s="38" customFormat="1">
      <c r="A723" s="194"/>
      <c r="B723" s="72" t="s">
        <v>33</v>
      </c>
      <c r="C723" s="60"/>
      <c r="D723" s="68"/>
      <c r="E723" s="80"/>
      <c r="F723" s="158"/>
      <c r="G723" s="141"/>
      <c r="H723" s="66">
        <f t="shared" si="127"/>
        <v>0</v>
      </c>
      <c r="I723" s="122"/>
      <c r="J723" s="278"/>
      <c r="M723" s="318"/>
      <c r="N723" s="166"/>
      <c r="O723" s="167"/>
      <c r="P723" s="167"/>
    </row>
    <row r="724" spans="1:16" s="38" customFormat="1" ht="36" customHeight="1">
      <c r="A724" s="194">
        <v>17</v>
      </c>
      <c r="B724" s="130" t="s">
        <v>103</v>
      </c>
      <c r="C724" s="239" t="s">
        <v>259</v>
      </c>
      <c r="D724" s="92" t="s">
        <v>53</v>
      </c>
      <c r="E724" s="92">
        <v>27957.5</v>
      </c>
      <c r="F724" s="190">
        <v>21296.230225432471</v>
      </c>
      <c r="G724" s="140"/>
      <c r="H724" s="113"/>
      <c r="I724" s="113"/>
      <c r="J724" s="275"/>
      <c r="M724" s="286"/>
      <c r="N724" s="166"/>
      <c r="O724" s="167"/>
      <c r="P724" s="167"/>
    </row>
    <row r="725" spans="1:16" s="38" customFormat="1">
      <c r="A725" s="194"/>
      <c r="B725" s="72" t="s">
        <v>86</v>
      </c>
      <c r="C725" s="241"/>
      <c r="D725" s="80"/>
      <c r="E725" s="189" t="s">
        <v>30</v>
      </c>
      <c r="F725" s="70">
        <f>G725/C4</f>
        <v>21284.807961374558</v>
      </c>
      <c r="G725" s="70">
        <f>F726*C4+H725</f>
        <v>118343.53226524252</v>
      </c>
      <c r="H725" s="66">
        <f t="shared" ref="H725:H730" si="128">I725+J725</f>
        <v>335</v>
      </c>
      <c r="I725" s="122"/>
      <c r="J725" s="278">
        <v>335</v>
      </c>
      <c r="M725" s="318"/>
      <c r="N725" s="166"/>
      <c r="O725" s="167"/>
      <c r="P725" s="167"/>
    </row>
    <row r="726" spans="1:16" s="38" customFormat="1">
      <c r="A726" s="194"/>
      <c r="B726" s="72" t="s">
        <v>85</v>
      </c>
      <c r="C726" s="60"/>
      <c r="D726" s="68"/>
      <c r="E726" s="80"/>
      <c r="F726" s="70">
        <f>G726/D4</f>
        <v>21224.556162813406</v>
      </c>
      <c r="G726" s="70">
        <f>F727*D4+H726</f>
        <v>123908.95887850467</v>
      </c>
      <c r="H726" s="66">
        <f t="shared" si="128"/>
        <v>64719.8</v>
      </c>
      <c r="I726" s="122"/>
      <c r="J726" s="278">
        <v>64719.8</v>
      </c>
      <c r="M726" s="318"/>
      <c r="N726" s="166"/>
      <c r="O726" s="167"/>
      <c r="P726" s="167"/>
    </row>
    <row r="727" spans="1:16" s="38" customFormat="1">
      <c r="A727" s="194"/>
      <c r="B727" s="72" t="s">
        <v>87</v>
      </c>
      <c r="C727" s="60"/>
      <c r="D727" s="68"/>
      <c r="E727" s="80"/>
      <c r="F727" s="70">
        <f>G727/E4</f>
        <v>10138.602068945644</v>
      </c>
      <c r="G727" s="70">
        <f>H727</f>
        <v>63332.4</v>
      </c>
      <c r="H727" s="66">
        <f t="shared" si="128"/>
        <v>63332.4</v>
      </c>
      <c r="I727" s="122"/>
      <c r="J727" s="278">
        <v>63332.4</v>
      </c>
      <c r="M727" s="318"/>
      <c r="N727" s="166"/>
      <c r="O727" s="167"/>
      <c r="P727" s="167"/>
    </row>
    <row r="728" spans="1:16" s="38" customFormat="1">
      <c r="A728" s="194"/>
      <c r="B728" s="72" t="s">
        <v>31</v>
      </c>
      <c r="C728" s="60"/>
      <c r="D728" s="68"/>
      <c r="E728" s="80"/>
      <c r="F728" s="158"/>
      <c r="G728" s="141"/>
      <c r="H728" s="66">
        <f t="shared" si="128"/>
        <v>0</v>
      </c>
      <c r="I728" s="122"/>
      <c r="J728" s="278"/>
      <c r="M728" s="318"/>
      <c r="N728" s="166"/>
      <c r="O728" s="167"/>
      <c r="P728" s="167"/>
    </row>
    <row r="729" spans="1:16" s="38" customFormat="1">
      <c r="A729" s="194"/>
      <c r="B729" s="72" t="s">
        <v>32</v>
      </c>
      <c r="C729" s="60"/>
      <c r="D729" s="68"/>
      <c r="E729" s="80"/>
      <c r="F729" s="158"/>
      <c r="G729" s="141"/>
      <c r="H729" s="66">
        <f t="shared" si="128"/>
        <v>0</v>
      </c>
      <c r="I729" s="122"/>
      <c r="J729" s="278"/>
      <c r="M729" s="318"/>
      <c r="N729" s="166"/>
      <c r="O729" s="167"/>
      <c r="P729" s="167"/>
    </row>
    <row r="730" spans="1:16" s="38" customFormat="1">
      <c r="A730" s="194"/>
      <c r="B730" s="72" t="s">
        <v>33</v>
      </c>
      <c r="C730" s="60"/>
      <c r="D730" s="68"/>
      <c r="E730" s="80"/>
      <c r="F730" s="158"/>
      <c r="G730" s="141"/>
      <c r="H730" s="66">
        <f t="shared" si="128"/>
        <v>0</v>
      </c>
      <c r="I730" s="122"/>
      <c r="J730" s="278"/>
      <c r="M730" s="318"/>
      <c r="N730" s="166"/>
      <c r="O730" s="167"/>
      <c r="P730" s="167"/>
    </row>
    <row r="731" spans="1:16" s="38" customFormat="1" ht="30" customHeight="1">
      <c r="A731" s="194">
        <v>18</v>
      </c>
      <c r="B731" s="130" t="s">
        <v>178</v>
      </c>
      <c r="C731" s="239" t="s">
        <v>278</v>
      </c>
      <c r="D731" s="92" t="s">
        <v>79</v>
      </c>
      <c r="E731" s="92">
        <v>61537.9</v>
      </c>
      <c r="F731" s="190">
        <f>F732</f>
        <v>34140.817436838246</v>
      </c>
      <c r="G731" s="140"/>
      <c r="H731" s="113"/>
      <c r="I731" s="113"/>
      <c r="J731" s="275"/>
      <c r="M731" s="286"/>
      <c r="N731" s="166"/>
      <c r="O731" s="167"/>
      <c r="P731" s="167"/>
    </row>
    <row r="732" spans="1:16" s="38" customFormat="1">
      <c r="A732" s="194"/>
      <c r="B732" s="72" t="s">
        <v>86</v>
      </c>
      <c r="C732" s="246"/>
      <c r="D732" s="80"/>
      <c r="E732" s="189" t="s">
        <v>30</v>
      </c>
      <c r="F732" s="70">
        <f>G732/C4</f>
        <v>34140.817436838246</v>
      </c>
      <c r="G732" s="66">
        <f>F733*C4+H732</f>
        <v>189822.94494882063</v>
      </c>
      <c r="H732" s="66">
        <f t="shared" ref="H732:H737" si="129">I732+J732</f>
        <v>72905.899999999994</v>
      </c>
      <c r="I732" s="122"/>
      <c r="J732" s="278">
        <v>72905.899999999994</v>
      </c>
      <c r="M732" s="318"/>
      <c r="N732" s="166"/>
      <c r="O732" s="167"/>
      <c r="P732" s="167"/>
    </row>
    <row r="733" spans="1:16" s="38" customFormat="1">
      <c r="A733" s="194"/>
      <c r="B733" s="72" t="s">
        <v>85</v>
      </c>
      <c r="C733" s="60"/>
      <c r="D733" s="68"/>
      <c r="E733" s="80"/>
      <c r="F733" s="70">
        <f>G733/D4</f>
        <v>21028.245494392202</v>
      </c>
      <c r="G733" s="66">
        <f>F734*D4+H733</f>
        <v>122762.89719626168</v>
      </c>
      <c r="H733" s="66">
        <f t="shared" si="129"/>
        <v>92000</v>
      </c>
      <c r="I733" s="122"/>
      <c r="J733" s="278">
        <v>92000</v>
      </c>
      <c r="M733" s="318"/>
      <c r="N733" s="166"/>
      <c r="O733" s="167"/>
      <c r="P733" s="167"/>
    </row>
    <row r="734" spans="1:16" s="38" customFormat="1">
      <c r="A734" s="194"/>
      <c r="B734" s="72" t="s">
        <v>87</v>
      </c>
      <c r="C734" s="60"/>
      <c r="D734" s="68"/>
      <c r="E734" s="80"/>
      <c r="F734" s="70">
        <f>G734/E4</f>
        <v>5269.4239801750055</v>
      </c>
      <c r="G734" s="66">
        <f>H734</f>
        <v>32916.300000000003</v>
      </c>
      <c r="H734" s="66">
        <f t="shared" si="129"/>
        <v>32916.300000000003</v>
      </c>
      <c r="I734" s="122"/>
      <c r="J734" s="278">
        <v>32916.300000000003</v>
      </c>
      <c r="M734" s="318"/>
      <c r="N734" s="166"/>
      <c r="O734" s="167"/>
      <c r="P734" s="167"/>
    </row>
    <row r="735" spans="1:16" s="38" customFormat="1">
      <c r="A735" s="194"/>
      <c r="B735" s="72" t="s">
        <v>31</v>
      </c>
      <c r="C735" s="60"/>
      <c r="D735" s="68"/>
      <c r="E735" s="80"/>
      <c r="F735" s="158"/>
      <c r="G735" s="141"/>
      <c r="H735" s="66">
        <f t="shared" si="129"/>
        <v>0</v>
      </c>
      <c r="I735" s="122"/>
      <c r="J735" s="278"/>
      <c r="M735" s="318"/>
      <c r="N735" s="166"/>
      <c r="O735" s="167"/>
      <c r="P735" s="167"/>
    </row>
    <row r="736" spans="1:16" s="38" customFormat="1">
      <c r="A736" s="194"/>
      <c r="B736" s="72" t="s">
        <v>32</v>
      </c>
      <c r="C736" s="60"/>
      <c r="D736" s="68"/>
      <c r="E736" s="80"/>
      <c r="F736" s="158"/>
      <c r="G736" s="141"/>
      <c r="H736" s="66">
        <f t="shared" si="129"/>
        <v>0</v>
      </c>
      <c r="I736" s="122"/>
      <c r="J736" s="278"/>
      <c r="M736" s="318"/>
      <c r="N736" s="166"/>
      <c r="O736" s="167"/>
      <c r="P736" s="167"/>
    </row>
    <row r="737" spans="1:16" s="38" customFormat="1">
      <c r="A737" s="194"/>
      <c r="B737" s="72" t="s">
        <v>33</v>
      </c>
      <c r="C737" s="239"/>
      <c r="D737" s="92"/>
      <c r="E737" s="80"/>
      <c r="F737" s="158"/>
      <c r="G737" s="141"/>
      <c r="H737" s="66">
        <f t="shared" si="129"/>
        <v>0</v>
      </c>
      <c r="I737" s="122"/>
      <c r="J737" s="278"/>
      <c r="M737" s="318"/>
      <c r="N737" s="166"/>
      <c r="O737" s="167"/>
      <c r="P737" s="167"/>
    </row>
    <row r="738" spans="1:16" s="38" customFormat="1" ht="69" customHeight="1">
      <c r="A738" s="194">
        <v>19</v>
      </c>
      <c r="B738" s="130" t="s">
        <v>179</v>
      </c>
      <c r="C738" s="239" t="s">
        <v>250</v>
      </c>
      <c r="D738" s="92" t="s">
        <v>50</v>
      </c>
      <c r="E738" s="190">
        <v>10112</v>
      </c>
      <c r="F738" s="190">
        <f>F740</f>
        <v>8835.0976361767734</v>
      </c>
      <c r="G738" s="140"/>
      <c r="H738" s="113"/>
      <c r="I738" s="113"/>
      <c r="J738" s="275"/>
      <c r="M738" s="286"/>
      <c r="N738" s="166"/>
      <c r="O738" s="167"/>
      <c r="P738" s="167"/>
    </row>
    <row r="739" spans="1:16" s="4" customFormat="1">
      <c r="A739" s="194"/>
      <c r="B739" s="72" t="s">
        <v>86</v>
      </c>
      <c r="C739" s="241"/>
      <c r="D739" s="80"/>
      <c r="E739" s="189" t="s">
        <v>37</v>
      </c>
      <c r="F739" s="70"/>
      <c r="G739" s="140"/>
      <c r="H739" s="66">
        <f t="shared" ref="H739:H744" si="130">I739+J739</f>
        <v>0</v>
      </c>
      <c r="I739" s="122"/>
      <c r="J739" s="278"/>
      <c r="K739" s="38"/>
      <c r="L739" s="261"/>
      <c r="M739" s="262"/>
      <c r="N739" s="71"/>
      <c r="O739" s="75"/>
      <c r="P739" s="75"/>
    </row>
    <row r="740" spans="1:16" s="4" customFormat="1">
      <c r="A740" s="194"/>
      <c r="B740" s="72" t="s">
        <v>85</v>
      </c>
      <c r="C740" s="60"/>
      <c r="D740" s="68"/>
      <c r="E740" s="80"/>
      <c r="F740" s="70">
        <f>G740/D4</f>
        <v>8835.0976361767734</v>
      </c>
      <c r="G740" s="66">
        <f>H740</f>
        <v>51579.3</v>
      </c>
      <c r="H740" s="66">
        <f t="shared" si="130"/>
        <v>51579.3</v>
      </c>
      <c r="I740" s="122"/>
      <c r="J740" s="278">
        <v>51579.3</v>
      </c>
      <c r="K740" s="38"/>
      <c r="L740" s="261"/>
      <c r="M740" s="262"/>
      <c r="N740" s="71"/>
      <c r="O740" s="75"/>
      <c r="P740" s="75"/>
    </row>
    <row r="741" spans="1:16" s="4" customFormat="1">
      <c r="A741" s="194"/>
      <c r="B741" s="72" t="s">
        <v>87</v>
      </c>
      <c r="C741" s="60"/>
      <c r="D741" s="68"/>
      <c r="E741" s="80"/>
      <c r="F741" s="158"/>
      <c r="G741" s="141"/>
      <c r="H741" s="66">
        <f t="shared" si="130"/>
        <v>0</v>
      </c>
      <c r="I741" s="122"/>
      <c r="J741" s="278"/>
      <c r="K741" s="38"/>
      <c r="L741" s="261"/>
      <c r="M741" s="262"/>
      <c r="N741" s="71"/>
      <c r="O741" s="75"/>
      <c r="P741" s="75"/>
    </row>
    <row r="742" spans="1:16" s="4" customFormat="1">
      <c r="A742" s="194"/>
      <c r="B742" s="72" t="s">
        <v>31</v>
      </c>
      <c r="C742" s="60"/>
      <c r="D742" s="68"/>
      <c r="E742" s="80"/>
      <c r="F742" s="158"/>
      <c r="G742" s="141"/>
      <c r="H742" s="66">
        <f t="shared" si="130"/>
        <v>0</v>
      </c>
      <c r="I742" s="122"/>
      <c r="J742" s="278"/>
      <c r="K742" s="38"/>
      <c r="L742" s="261"/>
      <c r="M742" s="262"/>
      <c r="N742" s="71"/>
      <c r="O742" s="75"/>
      <c r="P742" s="75"/>
    </row>
    <row r="743" spans="1:16" s="4" customFormat="1">
      <c r="A743" s="194"/>
      <c r="B743" s="72" t="s">
        <v>32</v>
      </c>
      <c r="C743" s="60"/>
      <c r="D743" s="68"/>
      <c r="E743" s="80"/>
      <c r="F743" s="158"/>
      <c r="G743" s="141"/>
      <c r="H743" s="66">
        <f t="shared" si="130"/>
        <v>0</v>
      </c>
      <c r="I743" s="122"/>
      <c r="J743" s="278"/>
      <c r="K743" s="38"/>
      <c r="L743" s="261"/>
      <c r="M743" s="262"/>
      <c r="N743" s="71"/>
      <c r="O743" s="75"/>
      <c r="P743" s="75"/>
    </row>
    <row r="744" spans="1:16" s="4" customFormat="1">
      <c r="A744" s="194"/>
      <c r="B744" s="72" t="s">
        <v>33</v>
      </c>
      <c r="C744" s="60"/>
      <c r="D744" s="68"/>
      <c r="E744" s="80"/>
      <c r="F744" s="158"/>
      <c r="G744" s="141"/>
      <c r="H744" s="66">
        <f t="shared" si="130"/>
        <v>0</v>
      </c>
      <c r="I744" s="122"/>
      <c r="J744" s="278"/>
      <c r="K744" s="38"/>
      <c r="L744" s="261"/>
      <c r="M744" s="262"/>
      <c r="N744" s="71"/>
      <c r="O744" s="75"/>
      <c r="P744" s="75"/>
    </row>
    <row r="745" spans="1:16" s="4" customFormat="1" ht="38.25">
      <c r="A745" s="194">
        <v>20</v>
      </c>
      <c r="B745" s="130" t="s">
        <v>180</v>
      </c>
      <c r="C745" s="239" t="s">
        <v>251</v>
      </c>
      <c r="D745" s="92" t="s">
        <v>44</v>
      </c>
      <c r="E745" s="190">
        <v>25856.3</v>
      </c>
      <c r="F745" s="190">
        <f>F747</f>
        <v>21402.637569517148</v>
      </c>
      <c r="G745" s="140"/>
      <c r="H745" s="113"/>
      <c r="I745" s="113"/>
      <c r="J745" s="275"/>
      <c r="K745" s="38"/>
      <c r="L745" s="261"/>
      <c r="M745" s="286"/>
      <c r="N745" s="71"/>
      <c r="O745" s="75"/>
      <c r="P745" s="75"/>
    </row>
    <row r="746" spans="1:16" s="4" customFormat="1">
      <c r="A746" s="194"/>
      <c r="B746" s="72" t="s">
        <v>86</v>
      </c>
      <c r="C746" s="241"/>
      <c r="D746" s="80"/>
      <c r="E746" s="80" t="s">
        <v>37</v>
      </c>
      <c r="F746" s="80"/>
      <c r="G746" s="140"/>
      <c r="H746" s="66">
        <f t="shared" ref="H746:H751" si="131">I746+J746</f>
        <v>0</v>
      </c>
      <c r="I746" s="122"/>
      <c r="J746" s="278"/>
      <c r="K746" s="38"/>
      <c r="L746" s="261"/>
      <c r="M746" s="262"/>
      <c r="N746" s="71"/>
      <c r="O746" s="75"/>
      <c r="P746" s="75"/>
    </row>
    <row r="747" spans="1:16" s="4" customFormat="1">
      <c r="A747" s="194"/>
      <c r="B747" s="72" t="s">
        <v>85</v>
      </c>
      <c r="C747" s="60"/>
      <c r="D747" s="68"/>
      <c r="E747" s="80"/>
      <c r="F747" s="70">
        <f>G747/D4</f>
        <v>21402.637569517148</v>
      </c>
      <c r="G747" s="66">
        <f>F749*D4+H747</f>
        <v>124948.59813084111</v>
      </c>
      <c r="H747" s="66">
        <f t="shared" si="131"/>
        <v>6000</v>
      </c>
      <c r="I747" s="122"/>
      <c r="J747" s="278">
        <v>6000</v>
      </c>
      <c r="K747" s="38"/>
      <c r="L747" s="261"/>
      <c r="M747" s="262"/>
      <c r="N747" s="71"/>
      <c r="O747" s="75"/>
      <c r="P747" s="75"/>
    </row>
    <row r="748" spans="1:16" s="4" customFormat="1">
      <c r="A748" s="194"/>
      <c r="B748" s="72" t="s">
        <v>87</v>
      </c>
      <c r="C748" s="60"/>
      <c r="D748" s="68"/>
      <c r="E748" s="80"/>
      <c r="F748" s="70"/>
      <c r="G748" s="66"/>
      <c r="H748" s="66">
        <f t="shared" si="131"/>
        <v>0</v>
      </c>
      <c r="I748" s="122"/>
      <c r="J748" s="278"/>
      <c r="K748" s="38"/>
      <c r="L748" s="261"/>
      <c r="M748" s="262"/>
      <c r="N748" s="71"/>
      <c r="O748" s="75"/>
      <c r="P748" s="75"/>
    </row>
    <row r="749" spans="1:16" s="4" customFormat="1">
      <c r="A749" s="194"/>
      <c r="B749" s="72" t="s">
        <v>31</v>
      </c>
      <c r="C749" s="60"/>
      <c r="D749" s="68"/>
      <c r="E749" s="80"/>
      <c r="F749" s="70">
        <f>G749/F4</f>
        <v>20374.888340329071</v>
      </c>
      <c r="G749" s="66">
        <f>H749</f>
        <v>135929.70000000001</v>
      </c>
      <c r="H749" s="66">
        <f t="shared" si="131"/>
        <v>135929.70000000001</v>
      </c>
      <c r="I749" s="122"/>
      <c r="J749" s="278">
        <v>135929.70000000001</v>
      </c>
      <c r="K749" s="38"/>
      <c r="L749" s="261"/>
      <c r="M749" s="262"/>
      <c r="N749" s="71"/>
      <c r="O749" s="75"/>
      <c r="P749" s="75"/>
    </row>
    <row r="750" spans="1:16" s="4" customFormat="1">
      <c r="A750" s="194"/>
      <c r="B750" s="72" t="s">
        <v>32</v>
      </c>
      <c r="C750" s="60"/>
      <c r="D750" s="68"/>
      <c r="E750" s="80"/>
      <c r="F750" s="158"/>
      <c r="G750" s="141"/>
      <c r="H750" s="66">
        <f t="shared" si="131"/>
        <v>0</v>
      </c>
      <c r="I750" s="122"/>
      <c r="J750" s="278"/>
      <c r="K750" s="38"/>
      <c r="L750" s="261"/>
      <c r="M750" s="262"/>
      <c r="N750" s="71"/>
      <c r="O750" s="75"/>
      <c r="P750" s="75"/>
    </row>
    <row r="751" spans="1:16" s="4" customFormat="1">
      <c r="A751" s="194"/>
      <c r="B751" s="72" t="s">
        <v>33</v>
      </c>
      <c r="C751" s="60"/>
      <c r="D751" s="68"/>
      <c r="E751" s="80"/>
      <c r="F751" s="158"/>
      <c r="G751" s="141"/>
      <c r="H751" s="66">
        <f t="shared" si="131"/>
        <v>0</v>
      </c>
      <c r="I751" s="122"/>
      <c r="J751" s="278"/>
      <c r="K751" s="38"/>
      <c r="L751" s="261"/>
      <c r="M751" s="262"/>
      <c r="N751" s="71"/>
      <c r="O751" s="75"/>
      <c r="P751" s="75"/>
    </row>
    <row r="752" spans="1:16" s="4" customFormat="1" ht="45.75" customHeight="1">
      <c r="A752" s="194">
        <v>21</v>
      </c>
      <c r="B752" s="130" t="s">
        <v>181</v>
      </c>
      <c r="C752" s="239" t="s">
        <v>280</v>
      </c>
      <c r="D752" s="92" t="s">
        <v>281</v>
      </c>
      <c r="E752" s="190">
        <v>20662.400000000001</v>
      </c>
      <c r="F752" s="190">
        <f>F757</f>
        <v>13083.483240167909</v>
      </c>
      <c r="G752" s="140"/>
      <c r="H752" s="113"/>
      <c r="I752" s="113"/>
      <c r="J752" s="275"/>
      <c r="K752" s="38"/>
      <c r="L752" s="261"/>
      <c r="M752" s="286"/>
      <c r="N752" s="71"/>
      <c r="O752" s="75"/>
      <c r="P752" s="75"/>
    </row>
    <row r="753" spans="1:16" s="4" customFormat="1">
      <c r="A753" s="194"/>
      <c r="B753" s="72" t="s">
        <v>86</v>
      </c>
      <c r="C753" s="241"/>
      <c r="D753" s="80"/>
      <c r="E753" s="80" t="s">
        <v>37</v>
      </c>
      <c r="F753" s="80"/>
      <c r="G753" s="140"/>
      <c r="H753" s="66">
        <f t="shared" ref="H753:H758" si="132">I753+J753</f>
        <v>0</v>
      </c>
      <c r="I753" s="122"/>
      <c r="J753" s="278"/>
      <c r="K753" s="38"/>
      <c r="L753" s="261"/>
      <c r="M753" s="262"/>
      <c r="N753" s="71"/>
      <c r="O753" s="75"/>
      <c r="P753" s="75"/>
    </row>
    <row r="754" spans="1:16" s="4" customFormat="1">
      <c r="A754" s="194"/>
      <c r="B754" s="72" t="s">
        <v>85</v>
      </c>
      <c r="C754" s="60"/>
      <c r="D754" s="68"/>
      <c r="E754" s="80"/>
      <c r="F754" s="134"/>
      <c r="G754" s="136"/>
      <c r="H754" s="66">
        <f t="shared" si="132"/>
        <v>0</v>
      </c>
      <c r="I754" s="122"/>
      <c r="J754" s="278"/>
      <c r="K754" s="38"/>
      <c r="L754" s="261"/>
      <c r="M754" s="262"/>
      <c r="N754" s="71"/>
      <c r="O754" s="75"/>
      <c r="P754" s="75"/>
    </row>
    <row r="755" spans="1:16" s="4" customFormat="1">
      <c r="A755" s="194"/>
      <c r="B755" s="72" t="s">
        <v>87</v>
      </c>
      <c r="C755" s="60"/>
      <c r="D755" s="68"/>
      <c r="E755" s="80"/>
      <c r="F755" s="157"/>
      <c r="G755" s="141"/>
      <c r="H755" s="66">
        <f t="shared" si="132"/>
        <v>0</v>
      </c>
      <c r="I755" s="122"/>
      <c r="J755" s="278"/>
      <c r="K755" s="38"/>
      <c r="L755" s="261"/>
      <c r="M755" s="262"/>
      <c r="N755" s="71"/>
      <c r="O755" s="75"/>
      <c r="P755" s="75"/>
    </row>
    <row r="756" spans="1:16" s="4" customFormat="1">
      <c r="A756" s="194"/>
      <c r="B756" s="72" t="s">
        <v>31</v>
      </c>
      <c r="C756" s="60"/>
      <c r="D756" s="68"/>
      <c r="E756" s="80"/>
      <c r="F756" s="158"/>
      <c r="G756" s="141"/>
      <c r="H756" s="66">
        <f t="shared" si="132"/>
        <v>0</v>
      </c>
      <c r="I756" s="137"/>
      <c r="J756" s="287"/>
      <c r="K756" s="38"/>
      <c r="L756" s="261"/>
      <c r="M756" s="262"/>
      <c r="N756" s="71"/>
      <c r="O756" s="75"/>
      <c r="P756" s="75"/>
    </row>
    <row r="757" spans="1:16" s="4" customFormat="1">
      <c r="A757" s="194"/>
      <c r="B757" s="72" t="s">
        <v>32</v>
      </c>
      <c r="C757" s="60"/>
      <c r="D757" s="68"/>
      <c r="E757" s="80"/>
      <c r="F757" s="70">
        <f>G757/G4</f>
        <v>13083.483240167909</v>
      </c>
      <c r="G757" s="66">
        <f>F758*G4+H757</f>
        <v>93046.428571428565</v>
      </c>
      <c r="H757" s="66">
        <f t="shared" si="132"/>
        <v>500</v>
      </c>
      <c r="I757" s="122"/>
      <c r="J757" s="278">
        <v>500</v>
      </c>
      <c r="K757" s="38"/>
      <c r="L757" s="261"/>
      <c r="M757" s="262"/>
      <c r="N757" s="71"/>
      <c r="O757" s="75"/>
      <c r="P757" s="75"/>
    </row>
    <row r="758" spans="1:16" s="4" customFormat="1">
      <c r="A758" s="194"/>
      <c r="B758" s="72" t="s">
        <v>33</v>
      </c>
      <c r="C758" s="60"/>
      <c r="D758" s="68"/>
      <c r="E758" s="80"/>
      <c r="F758" s="70">
        <f>G758/H4</f>
        <v>13013.177031530764</v>
      </c>
      <c r="G758" s="66">
        <f>H758</f>
        <v>98469.4</v>
      </c>
      <c r="H758" s="66">
        <f t="shared" si="132"/>
        <v>98469.4</v>
      </c>
      <c r="I758" s="122"/>
      <c r="J758" s="278">
        <v>98469.4</v>
      </c>
      <c r="K758" s="38"/>
      <c r="L758" s="261"/>
      <c r="M758" s="278">
        <v>5471.3</v>
      </c>
      <c r="N758" s="71"/>
      <c r="O758" s="75"/>
      <c r="P758" s="75"/>
    </row>
    <row r="759" spans="1:16" s="4" customFormat="1" ht="38.25">
      <c r="A759" s="194">
        <v>22</v>
      </c>
      <c r="B759" s="130" t="s">
        <v>182</v>
      </c>
      <c r="C759" s="239" t="s">
        <v>252</v>
      </c>
      <c r="D759" s="92" t="s">
        <v>104</v>
      </c>
      <c r="E759" s="190">
        <v>61047.4</v>
      </c>
      <c r="F759" s="190">
        <f>F760</f>
        <v>23573.466647542737</v>
      </c>
      <c r="G759" s="140"/>
      <c r="H759" s="113"/>
      <c r="I759" s="113"/>
      <c r="J759" s="275"/>
      <c r="K759" s="38"/>
      <c r="L759" s="261"/>
      <c r="M759" s="286"/>
      <c r="N759" s="71"/>
      <c r="O759" s="75"/>
      <c r="P759" s="75"/>
    </row>
    <row r="760" spans="1:16" s="38" customFormat="1" ht="15.75" customHeight="1">
      <c r="A760" s="194"/>
      <c r="B760" s="72" t="s">
        <v>86</v>
      </c>
      <c r="C760" s="241"/>
      <c r="D760" s="80"/>
      <c r="E760" s="80" t="s">
        <v>30</v>
      </c>
      <c r="F760" s="70">
        <f>G760/C4</f>
        <v>23573.466647542737</v>
      </c>
      <c r="G760" s="66">
        <f>F761*C4+H760</f>
        <v>131068.47456033761</v>
      </c>
      <c r="H760" s="66">
        <f t="shared" ref="H760:H765" si="133">I760+J760</f>
        <v>450</v>
      </c>
      <c r="I760" s="122"/>
      <c r="J760" s="278">
        <v>450</v>
      </c>
      <c r="M760" s="318"/>
      <c r="N760" s="166"/>
      <c r="O760" s="167"/>
      <c r="P760" s="167"/>
    </row>
    <row r="761" spans="1:16" s="39" customFormat="1">
      <c r="A761" s="194"/>
      <c r="B761" s="72" t="s">
        <v>85</v>
      </c>
      <c r="C761" s="60"/>
      <c r="D761" s="68"/>
      <c r="E761" s="80"/>
      <c r="F761" s="70">
        <f>G761/D4</f>
        <v>23492.531395744176</v>
      </c>
      <c r="G761" s="66">
        <f>F762*D4+H761</f>
        <v>137149.39828835451</v>
      </c>
      <c r="H761" s="66">
        <f t="shared" si="133"/>
        <v>34151.300000000003</v>
      </c>
      <c r="I761" s="122"/>
      <c r="J761" s="278">
        <v>34151.300000000003</v>
      </c>
      <c r="K761" s="38"/>
      <c r="L761" s="326"/>
      <c r="M761" s="327"/>
      <c r="N761" s="197"/>
      <c r="O761" s="198"/>
      <c r="P761" s="198"/>
    </row>
    <row r="762" spans="1:16" s="39" customFormat="1">
      <c r="A762" s="194"/>
      <c r="B762" s="72" t="s">
        <v>87</v>
      </c>
      <c r="C762" s="60"/>
      <c r="D762" s="68"/>
      <c r="E762" s="80"/>
      <c r="F762" s="70">
        <f>G762/E4</f>
        <v>17642.702687282374</v>
      </c>
      <c r="G762" s="66">
        <f>F763*E4+H762</f>
        <v>110207.96516853932</v>
      </c>
      <c r="H762" s="66">
        <f t="shared" si="133"/>
        <v>48100.1</v>
      </c>
      <c r="I762" s="122"/>
      <c r="J762" s="278">
        <v>48100.1</v>
      </c>
      <c r="K762" s="38"/>
      <c r="L762" s="326"/>
      <c r="M762" s="327"/>
      <c r="N762" s="197"/>
      <c r="O762" s="198"/>
      <c r="P762" s="198"/>
    </row>
    <row r="763" spans="1:16" s="39" customFormat="1">
      <c r="A763" s="194"/>
      <c r="B763" s="72" t="s">
        <v>31</v>
      </c>
      <c r="C763" s="60"/>
      <c r="D763" s="68"/>
      <c r="E763" s="80"/>
      <c r="F763" s="70">
        <f>G763/F4</f>
        <v>9942.5717373027037</v>
      </c>
      <c r="G763" s="66">
        <f>F764*F4+H763</f>
        <v>66331.199999999997</v>
      </c>
      <c r="H763" s="66">
        <f t="shared" si="133"/>
        <v>66331.199999999997</v>
      </c>
      <c r="I763" s="122"/>
      <c r="J763" s="278">
        <v>66331.199999999997</v>
      </c>
      <c r="K763" s="38"/>
      <c r="L763" s="326"/>
      <c r="M763" s="327"/>
      <c r="N763" s="197"/>
      <c r="O763" s="198"/>
      <c r="P763" s="198"/>
    </row>
    <row r="764" spans="1:16" s="39" customFormat="1">
      <c r="A764" s="194"/>
      <c r="B764" s="72" t="s">
        <v>32</v>
      </c>
      <c r="C764" s="60"/>
      <c r="D764" s="68"/>
      <c r="E764" s="80"/>
      <c r="F764" s="70">
        <f>G764/G4</f>
        <v>0</v>
      </c>
      <c r="G764" s="66">
        <f>H764</f>
        <v>0</v>
      </c>
      <c r="H764" s="66">
        <f t="shared" si="133"/>
        <v>0</v>
      </c>
      <c r="I764" s="122"/>
      <c r="J764" s="278"/>
      <c r="K764" s="38"/>
      <c r="L764" s="326"/>
      <c r="M764" s="278">
        <v>132999</v>
      </c>
      <c r="N764" s="197"/>
      <c r="O764" s="198"/>
      <c r="P764" s="198"/>
    </row>
    <row r="765" spans="1:16" s="39" customFormat="1">
      <c r="A765" s="194"/>
      <c r="B765" s="72" t="s">
        <v>33</v>
      </c>
      <c r="C765" s="60"/>
      <c r="D765" s="68"/>
      <c r="E765" s="80"/>
      <c r="F765" s="158"/>
      <c r="G765" s="141"/>
      <c r="H765" s="66">
        <f t="shared" si="133"/>
        <v>0</v>
      </c>
      <c r="I765" s="122"/>
      <c r="J765" s="278"/>
      <c r="K765" s="38"/>
      <c r="L765" s="326"/>
      <c r="M765" s="327"/>
      <c r="N765" s="197"/>
      <c r="O765" s="198"/>
      <c r="P765" s="198"/>
    </row>
    <row r="766" spans="1:16" s="39" customFormat="1" ht="32.25" customHeight="1">
      <c r="A766" s="194">
        <v>23</v>
      </c>
      <c r="B766" s="130" t="s">
        <v>105</v>
      </c>
      <c r="C766" s="239" t="s">
        <v>253</v>
      </c>
      <c r="D766" s="92" t="s">
        <v>53</v>
      </c>
      <c r="E766" s="190">
        <v>30758.2</v>
      </c>
      <c r="F766" s="190">
        <f>F767</f>
        <v>24483.861535604621</v>
      </c>
      <c r="G766" s="140"/>
      <c r="H766" s="113"/>
      <c r="I766" s="113"/>
      <c r="J766" s="275"/>
      <c r="K766" s="38"/>
      <c r="L766" s="326"/>
      <c r="M766" s="286"/>
      <c r="N766" s="197"/>
      <c r="O766" s="198"/>
      <c r="P766" s="198"/>
    </row>
    <row r="767" spans="1:16" s="39" customFormat="1">
      <c r="A767" s="194"/>
      <c r="B767" s="72" t="s">
        <v>86</v>
      </c>
      <c r="C767" s="241"/>
      <c r="D767" s="80"/>
      <c r="E767" s="80" t="s">
        <v>30</v>
      </c>
      <c r="F767" s="70">
        <f>G767/C4</f>
        <v>24483.861535604621</v>
      </c>
      <c r="G767" s="66">
        <f>F768*C4+H767</f>
        <v>136130.27013796169</v>
      </c>
      <c r="H767" s="66">
        <f t="shared" ref="H767:H772" si="134">I767+J767</f>
        <v>285</v>
      </c>
      <c r="I767" s="122"/>
      <c r="J767" s="278">
        <v>285</v>
      </c>
      <c r="K767" s="38"/>
      <c r="L767" s="326"/>
      <c r="M767" s="327"/>
      <c r="N767" s="197"/>
      <c r="O767" s="198"/>
      <c r="P767" s="198"/>
    </row>
    <row r="768" spans="1:16" s="39" customFormat="1">
      <c r="A768" s="194"/>
      <c r="B768" s="72" t="s">
        <v>85</v>
      </c>
      <c r="C768" s="60"/>
      <c r="D768" s="68"/>
      <c r="E768" s="80"/>
      <c r="F768" s="70">
        <f>G768/D4</f>
        <v>24432.602542798868</v>
      </c>
      <c r="G768" s="66">
        <f>F769*D4+H768</f>
        <v>142637.5336448598</v>
      </c>
      <c r="H768" s="66">
        <f t="shared" si="134"/>
        <v>84102.3</v>
      </c>
      <c r="I768" s="122"/>
      <c r="J768" s="278">
        <v>84102.3</v>
      </c>
      <c r="K768" s="38"/>
      <c r="L768" s="326"/>
      <c r="M768" s="327"/>
      <c r="N768" s="197"/>
      <c r="O768" s="198"/>
      <c r="P768" s="198"/>
    </row>
    <row r="769" spans="1:16" s="39" customFormat="1">
      <c r="A769" s="194"/>
      <c r="B769" s="72" t="s">
        <v>87</v>
      </c>
      <c r="C769" s="60"/>
      <c r="D769" s="68"/>
      <c r="E769" s="80"/>
      <c r="F769" s="70">
        <f>G769/E4</f>
        <v>10026.590209808121</v>
      </c>
      <c r="G769" s="66">
        <f>H769</f>
        <v>62632.7</v>
      </c>
      <c r="H769" s="66">
        <f t="shared" si="134"/>
        <v>62632.7</v>
      </c>
      <c r="I769" s="122"/>
      <c r="J769" s="278">
        <v>62632.7</v>
      </c>
      <c r="K769" s="38"/>
      <c r="L769" s="326"/>
      <c r="M769" s="327"/>
      <c r="N769" s="197"/>
      <c r="O769" s="198"/>
      <c r="P769" s="198"/>
    </row>
    <row r="770" spans="1:16" s="39" customFormat="1">
      <c r="A770" s="194"/>
      <c r="B770" s="72" t="s">
        <v>31</v>
      </c>
      <c r="C770" s="60"/>
      <c r="D770" s="68"/>
      <c r="E770" s="80"/>
      <c r="F770" s="158"/>
      <c r="G770" s="141"/>
      <c r="H770" s="66">
        <f t="shared" si="134"/>
        <v>0</v>
      </c>
      <c r="I770" s="122"/>
      <c r="J770" s="278"/>
      <c r="K770" s="38"/>
      <c r="L770" s="326"/>
      <c r="M770" s="327"/>
      <c r="N770" s="197"/>
      <c r="O770" s="198"/>
      <c r="P770" s="198"/>
    </row>
    <row r="771" spans="1:16" s="39" customFormat="1">
      <c r="A771" s="194"/>
      <c r="B771" s="72" t="s">
        <v>32</v>
      </c>
      <c r="C771" s="60"/>
      <c r="D771" s="68"/>
      <c r="E771" s="80"/>
      <c r="F771" s="158"/>
      <c r="G771" s="141"/>
      <c r="H771" s="66">
        <f t="shared" si="134"/>
        <v>0</v>
      </c>
      <c r="I771" s="122"/>
      <c r="J771" s="278"/>
      <c r="K771" s="38"/>
      <c r="L771" s="326"/>
      <c r="M771" s="327"/>
      <c r="N771" s="197"/>
      <c r="O771" s="198"/>
      <c r="P771" s="198"/>
    </row>
    <row r="772" spans="1:16" s="39" customFormat="1">
      <c r="A772" s="194"/>
      <c r="B772" s="72" t="s">
        <v>33</v>
      </c>
      <c r="C772" s="60"/>
      <c r="D772" s="68"/>
      <c r="E772" s="80"/>
      <c r="F772" s="158"/>
      <c r="G772" s="141"/>
      <c r="H772" s="66">
        <f t="shared" si="134"/>
        <v>0</v>
      </c>
      <c r="I772" s="122"/>
      <c r="J772" s="268"/>
      <c r="K772" s="38"/>
      <c r="L772" s="326"/>
      <c r="M772" s="327"/>
      <c r="N772" s="197"/>
      <c r="O772" s="198"/>
      <c r="P772" s="198"/>
    </row>
    <row r="773" spans="1:16" s="39" customFormat="1" ht="32.25" customHeight="1">
      <c r="A773" s="194">
        <v>24</v>
      </c>
      <c r="B773" s="130" t="s">
        <v>106</v>
      </c>
      <c r="C773" s="239" t="s">
        <v>247</v>
      </c>
      <c r="D773" s="92" t="s">
        <v>53</v>
      </c>
      <c r="E773" s="92">
        <v>11166.7</v>
      </c>
      <c r="F773" s="190">
        <f>F776</f>
        <v>9814.0926511127545</v>
      </c>
      <c r="G773" s="140"/>
      <c r="H773" s="113"/>
      <c r="I773" s="113"/>
      <c r="J773" s="275"/>
      <c r="K773" s="38"/>
      <c r="L773" s="326"/>
      <c r="M773" s="286"/>
      <c r="N773" s="197"/>
      <c r="O773" s="198"/>
      <c r="P773" s="198"/>
    </row>
    <row r="774" spans="1:16" s="39" customFormat="1">
      <c r="A774" s="194"/>
      <c r="B774" s="72" t="s">
        <v>86</v>
      </c>
      <c r="C774" s="241"/>
      <c r="D774" s="80"/>
      <c r="E774" s="80" t="s">
        <v>37</v>
      </c>
      <c r="F774" s="189"/>
      <c r="G774" s="140"/>
      <c r="H774" s="66">
        <f t="shared" ref="H774:H779" si="135">I774+J774</f>
        <v>0</v>
      </c>
      <c r="I774" s="122"/>
      <c r="J774" s="268"/>
      <c r="K774" s="38"/>
      <c r="L774" s="326"/>
      <c r="M774" s="327"/>
      <c r="N774" s="197"/>
      <c r="O774" s="198"/>
      <c r="P774" s="198"/>
    </row>
    <row r="775" spans="1:16" s="39" customFormat="1">
      <c r="A775" s="194"/>
      <c r="B775" s="72" t="s">
        <v>85</v>
      </c>
      <c r="C775" s="60"/>
      <c r="D775" s="68"/>
      <c r="E775" s="80"/>
      <c r="F775" s="158"/>
      <c r="G775" s="141"/>
      <c r="H775" s="66">
        <f t="shared" si="135"/>
        <v>0</v>
      </c>
      <c r="I775" s="122"/>
      <c r="J775" s="268"/>
      <c r="K775" s="38"/>
      <c r="L775" s="326"/>
      <c r="M775" s="327"/>
      <c r="N775" s="197"/>
      <c r="O775" s="198"/>
      <c r="P775" s="198"/>
    </row>
    <row r="776" spans="1:16" s="39" customFormat="1">
      <c r="A776" s="194"/>
      <c r="B776" s="72" t="s">
        <v>87</v>
      </c>
      <c r="C776" s="60"/>
      <c r="D776" s="68"/>
      <c r="E776" s="80"/>
      <c r="F776" s="70">
        <f>G776/E4</f>
        <v>9814.0926511127545</v>
      </c>
      <c r="G776" s="66">
        <f>H776</f>
        <v>61305.3</v>
      </c>
      <c r="H776" s="66">
        <f t="shared" si="135"/>
        <v>61305.3</v>
      </c>
      <c r="I776" s="122"/>
      <c r="J776" s="268">
        <v>61305.3</v>
      </c>
      <c r="K776" s="38"/>
      <c r="L776" s="326"/>
      <c r="M776" s="327"/>
      <c r="N776" s="197"/>
      <c r="O776" s="198"/>
      <c r="P776" s="198"/>
    </row>
    <row r="777" spans="1:16" s="39" customFormat="1">
      <c r="A777" s="194"/>
      <c r="B777" s="72" t="s">
        <v>31</v>
      </c>
      <c r="C777" s="60"/>
      <c r="D777" s="68"/>
      <c r="E777" s="80"/>
      <c r="F777" s="158"/>
      <c r="G777" s="141"/>
      <c r="H777" s="66">
        <f t="shared" si="135"/>
        <v>0</v>
      </c>
      <c r="I777" s="122"/>
      <c r="J777" s="268"/>
      <c r="K777" s="38"/>
      <c r="L777" s="326"/>
      <c r="M777" s="327"/>
      <c r="N777" s="197"/>
      <c r="O777" s="198"/>
      <c r="P777" s="198"/>
    </row>
    <row r="778" spans="1:16" s="39" customFormat="1">
      <c r="A778" s="194"/>
      <c r="B778" s="72" t="s">
        <v>32</v>
      </c>
      <c r="C778" s="60"/>
      <c r="D778" s="68"/>
      <c r="E778" s="80"/>
      <c r="F778" s="158"/>
      <c r="G778" s="141"/>
      <c r="H778" s="66">
        <f t="shared" si="135"/>
        <v>0</v>
      </c>
      <c r="I778" s="122"/>
      <c r="J778" s="278"/>
      <c r="K778" s="38"/>
      <c r="L778" s="326"/>
      <c r="M778" s="327"/>
      <c r="N778" s="197"/>
      <c r="O778" s="198"/>
      <c r="P778" s="198"/>
    </row>
    <row r="779" spans="1:16" s="39" customFormat="1">
      <c r="A779" s="194"/>
      <c r="B779" s="72" t="s">
        <v>33</v>
      </c>
      <c r="C779" s="60"/>
      <c r="D779" s="68"/>
      <c r="E779" s="80"/>
      <c r="F779" s="158"/>
      <c r="G779" s="141"/>
      <c r="H779" s="66">
        <f t="shared" si="135"/>
        <v>0</v>
      </c>
      <c r="I779" s="122"/>
      <c r="J779" s="278"/>
      <c r="K779" s="38"/>
      <c r="L779" s="326"/>
      <c r="M779" s="327"/>
      <c r="N779" s="197"/>
      <c r="O779" s="198"/>
      <c r="P779" s="198"/>
    </row>
    <row r="780" spans="1:16" s="39" customFormat="1" ht="31.5" customHeight="1">
      <c r="A780" s="194">
        <v>25</v>
      </c>
      <c r="B780" s="130" t="s">
        <v>183</v>
      </c>
      <c r="C780" s="239" t="s">
        <v>254</v>
      </c>
      <c r="D780" s="92" t="s">
        <v>79</v>
      </c>
      <c r="E780" s="92">
        <v>74934.7</v>
      </c>
      <c r="F780" s="190">
        <f>F781</f>
        <v>58977.71136895557</v>
      </c>
      <c r="G780" s="140"/>
      <c r="H780" s="113"/>
      <c r="I780" s="113"/>
      <c r="J780" s="275"/>
      <c r="K780" s="38"/>
      <c r="L780" s="326"/>
      <c r="M780" s="286"/>
      <c r="N780" s="197"/>
      <c r="O780" s="198"/>
      <c r="P780" s="198"/>
    </row>
    <row r="781" spans="1:16" s="39" customFormat="1">
      <c r="A781" s="194"/>
      <c r="B781" s="72" t="s">
        <v>86</v>
      </c>
      <c r="C781" s="246"/>
      <c r="D781" s="55"/>
      <c r="E781" s="80"/>
      <c r="F781" s="70">
        <f>G781/C4</f>
        <v>58977.71136895557</v>
      </c>
      <c r="G781" s="66">
        <f>F782*C4+H781</f>
        <v>327916.07521139295</v>
      </c>
      <c r="H781" s="66">
        <f t="shared" ref="H781:H786" si="136">I781+J781</f>
        <v>37793</v>
      </c>
      <c r="I781" s="122"/>
      <c r="J781" s="268">
        <v>37793</v>
      </c>
      <c r="K781" s="38"/>
      <c r="L781" s="326"/>
      <c r="M781" s="327"/>
      <c r="N781" s="197"/>
      <c r="O781" s="198"/>
      <c r="P781" s="198"/>
    </row>
    <row r="782" spans="1:16" s="39" customFormat="1">
      <c r="A782" s="194"/>
      <c r="B782" s="72" t="s">
        <v>85</v>
      </c>
      <c r="C782" s="60"/>
      <c r="D782" s="68"/>
      <c r="E782" s="80"/>
      <c r="F782" s="70">
        <f>G782/D4</f>
        <v>52180.409210682184</v>
      </c>
      <c r="G782" s="66">
        <f>F783*D4+H782</f>
        <v>304629.22897196258</v>
      </c>
      <c r="H782" s="66">
        <f t="shared" si="136"/>
        <v>154592.5</v>
      </c>
      <c r="I782" s="122"/>
      <c r="J782" s="268">
        <v>154592.5</v>
      </c>
      <c r="K782" s="38"/>
      <c r="L782" s="326"/>
      <c r="M782" s="327"/>
      <c r="N782" s="197"/>
      <c r="O782" s="198"/>
      <c r="P782" s="198"/>
    </row>
    <row r="783" spans="1:16" s="39" customFormat="1">
      <c r="A783" s="194"/>
      <c r="B783" s="72" t="s">
        <v>87</v>
      </c>
      <c r="C783" s="60"/>
      <c r="D783" s="68"/>
      <c r="E783" s="80"/>
      <c r="F783" s="70">
        <f>G783/E4</f>
        <v>25700.022091805859</v>
      </c>
      <c r="G783" s="66">
        <f>H783</f>
        <v>160539.29999999999</v>
      </c>
      <c r="H783" s="66">
        <f t="shared" si="136"/>
        <v>160539.29999999999</v>
      </c>
      <c r="I783" s="122"/>
      <c r="J783" s="268">
        <v>160539.29999999999</v>
      </c>
      <c r="K783" s="38"/>
      <c r="L783" s="326"/>
      <c r="M783" s="327"/>
      <c r="N783" s="197"/>
      <c r="O783" s="198"/>
      <c r="P783" s="198"/>
    </row>
    <row r="784" spans="1:16" s="39" customFormat="1">
      <c r="A784" s="194"/>
      <c r="B784" s="72" t="s">
        <v>31</v>
      </c>
      <c r="C784" s="60"/>
      <c r="D784" s="68"/>
      <c r="E784" s="80"/>
      <c r="F784" s="158"/>
      <c r="G784" s="141"/>
      <c r="H784" s="66">
        <f t="shared" si="136"/>
        <v>0</v>
      </c>
      <c r="I784" s="122"/>
      <c r="J784" s="268"/>
      <c r="K784" s="328"/>
      <c r="L784" s="326"/>
      <c r="M784" s="327"/>
      <c r="N784" s="197"/>
      <c r="O784" s="198"/>
      <c r="P784" s="198"/>
    </row>
    <row r="785" spans="1:16" s="39" customFormat="1">
      <c r="A785" s="194"/>
      <c r="B785" s="72" t="s">
        <v>32</v>
      </c>
      <c r="C785" s="60"/>
      <c r="D785" s="68"/>
      <c r="E785" s="80"/>
      <c r="F785" s="158"/>
      <c r="G785" s="141"/>
      <c r="H785" s="66">
        <f t="shared" si="136"/>
        <v>0</v>
      </c>
      <c r="I785" s="122"/>
      <c r="J785" s="278"/>
      <c r="K785" s="38"/>
      <c r="L785" s="326"/>
      <c r="M785" s="327"/>
      <c r="N785" s="197"/>
      <c r="O785" s="198"/>
      <c r="P785" s="198"/>
    </row>
    <row r="786" spans="1:16" s="39" customFormat="1">
      <c r="A786" s="194"/>
      <c r="B786" s="72" t="s">
        <v>33</v>
      </c>
      <c r="C786" s="60"/>
      <c r="D786" s="68"/>
      <c r="E786" s="80"/>
      <c r="F786" s="158"/>
      <c r="G786" s="141"/>
      <c r="H786" s="66">
        <f t="shared" si="136"/>
        <v>0</v>
      </c>
      <c r="I786" s="122"/>
      <c r="J786" s="268"/>
      <c r="K786" s="38"/>
      <c r="L786" s="326"/>
      <c r="M786" s="327"/>
      <c r="N786" s="197"/>
      <c r="O786" s="198"/>
      <c r="P786" s="198"/>
    </row>
    <row r="787" spans="1:16" s="39" customFormat="1" ht="33" customHeight="1">
      <c r="A787" s="194">
        <v>26</v>
      </c>
      <c r="B787" s="130" t="s">
        <v>107</v>
      </c>
      <c r="C787" s="239" t="s">
        <v>255</v>
      </c>
      <c r="D787" s="92" t="s">
        <v>256</v>
      </c>
      <c r="E787" s="92">
        <v>10652.5</v>
      </c>
      <c r="F787" s="190">
        <f>F788</f>
        <v>7427.5164647987876</v>
      </c>
      <c r="G787" s="140"/>
      <c r="H787" s="113"/>
      <c r="I787" s="113"/>
      <c r="J787" s="275"/>
      <c r="K787" s="38"/>
      <c r="L787" s="326"/>
      <c r="M787" s="286"/>
      <c r="N787" s="197"/>
      <c r="O787" s="198"/>
      <c r="P787" s="198"/>
    </row>
    <row r="788" spans="1:16" s="39" customFormat="1">
      <c r="A788" s="194"/>
      <c r="B788" s="72" t="s">
        <v>86</v>
      </c>
      <c r="C788" s="246"/>
      <c r="D788" s="55"/>
      <c r="E788" s="80"/>
      <c r="F788" s="70">
        <f>G788/C4</f>
        <v>7427.5164647987876</v>
      </c>
      <c r="G788" s="66">
        <f>F789*C4+H788</f>
        <v>41296.991544281256</v>
      </c>
      <c r="H788" s="66">
        <f t="shared" ref="H788:H793" si="137">I788+J788</f>
        <v>220</v>
      </c>
      <c r="I788" s="122"/>
      <c r="J788" s="268">
        <v>220</v>
      </c>
      <c r="K788" s="38"/>
      <c r="L788" s="326"/>
      <c r="M788" s="327"/>
      <c r="N788" s="197"/>
      <c r="O788" s="198"/>
      <c r="P788" s="198"/>
    </row>
    <row r="789" spans="1:16" s="39" customFormat="1">
      <c r="A789" s="194"/>
      <c r="B789" s="72" t="s">
        <v>85</v>
      </c>
      <c r="C789" s="60"/>
      <c r="D789" s="68"/>
      <c r="E789" s="80"/>
      <c r="F789" s="70">
        <f>G789/D4</f>
        <v>7387.948119475047</v>
      </c>
      <c r="G789" s="66">
        <f>F790*D4+H789</f>
        <v>43130.841121495323</v>
      </c>
      <c r="H789" s="66">
        <f t="shared" si="137"/>
        <v>25000</v>
      </c>
      <c r="I789" s="122"/>
      <c r="J789" s="268">
        <v>25000</v>
      </c>
      <c r="K789" s="38"/>
      <c r="L789" s="326"/>
      <c r="M789" s="327"/>
      <c r="N789" s="197"/>
      <c r="O789" s="198"/>
      <c r="P789" s="198"/>
    </row>
    <row r="790" spans="1:16" s="39" customFormat="1">
      <c r="A790" s="194"/>
      <c r="B790" s="72" t="s">
        <v>87</v>
      </c>
      <c r="C790" s="60"/>
      <c r="D790" s="68"/>
      <c r="E790" s="80"/>
      <c r="F790" s="70">
        <f>G790/E4</f>
        <v>3105.6596645247218</v>
      </c>
      <c r="G790" s="66">
        <f>H790</f>
        <v>19400</v>
      </c>
      <c r="H790" s="66">
        <f t="shared" si="137"/>
        <v>19400</v>
      </c>
      <c r="I790" s="122"/>
      <c r="J790" s="268">
        <v>19400</v>
      </c>
      <c r="K790" s="38"/>
      <c r="L790" s="326"/>
      <c r="M790" s="327"/>
      <c r="N790" s="197"/>
      <c r="O790" s="198"/>
      <c r="P790" s="198"/>
    </row>
    <row r="791" spans="1:16" s="39" customFormat="1">
      <c r="A791" s="194"/>
      <c r="B791" s="72" t="s">
        <v>31</v>
      </c>
      <c r="C791" s="60"/>
      <c r="D791" s="68"/>
      <c r="E791" s="80"/>
      <c r="F791" s="158"/>
      <c r="G791" s="141"/>
      <c r="H791" s="66">
        <f t="shared" si="137"/>
        <v>0</v>
      </c>
      <c r="I791" s="122"/>
      <c r="J791" s="268"/>
      <c r="K791" s="38"/>
      <c r="L791" s="326"/>
      <c r="M791" s="327"/>
      <c r="N791" s="197"/>
      <c r="O791" s="198"/>
      <c r="P791" s="198"/>
    </row>
    <row r="792" spans="1:16" s="39" customFormat="1">
      <c r="A792" s="194"/>
      <c r="B792" s="72" t="s">
        <v>32</v>
      </c>
      <c r="C792" s="60"/>
      <c r="D792" s="68"/>
      <c r="E792" s="80"/>
      <c r="F792" s="158"/>
      <c r="G792" s="141"/>
      <c r="H792" s="66">
        <f t="shared" si="137"/>
        <v>0</v>
      </c>
      <c r="I792" s="122"/>
      <c r="J792" s="278"/>
      <c r="K792" s="38"/>
      <c r="L792" s="326"/>
      <c r="M792" s="327"/>
      <c r="N792" s="197"/>
      <c r="O792" s="198"/>
      <c r="P792" s="198"/>
    </row>
    <row r="793" spans="1:16" s="39" customFormat="1">
      <c r="A793" s="194"/>
      <c r="B793" s="72" t="s">
        <v>33</v>
      </c>
      <c r="C793" s="60"/>
      <c r="D793" s="68"/>
      <c r="E793" s="80"/>
      <c r="F793" s="158"/>
      <c r="G793" s="141"/>
      <c r="H793" s="66">
        <f t="shared" si="137"/>
        <v>0</v>
      </c>
      <c r="I793" s="122"/>
      <c r="J793" s="278"/>
      <c r="K793" s="38"/>
      <c r="L793" s="326"/>
      <c r="M793" s="327"/>
      <c r="N793" s="197"/>
      <c r="O793" s="198"/>
      <c r="P793" s="198"/>
    </row>
    <row r="794" spans="1:16" s="39" customFormat="1" ht="53.25" customHeight="1">
      <c r="A794" s="194">
        <v>27</v>
      </c>
      <c r="B794" s="130" t="s">
        <v>184</v>
      </c>
      <c r="C794" s="239" t="s">
        <v>257</v>
      </c>
      <c r="D794" s="92" t="s">
        <v>306</v>
      </c>
      <c r="E794" s="80"/>
      <c r="F794" s="189"/>
      <c r="G794" s="140"/>
      <c r="H794" s="113"/>
      <c r="I794" s="113"/>
      <c r="J794" s="275"/>
      <c r="K794" s="38"/>
      <c r="L794" s="326"/>
      <c r="M794" s="286"/>
      <c r="N794" s="197"/>
      <c r="O794" s="198"/>
      <c r="P794" s="198"/>
    </row>
    <row r="795" spans="1:16" s="39" customFormat="1">
      <c r="A795" s="194"/>
      <c r="B795" s="72" t="s">
        <v>86</v>
      </c>
      <c r="C795" s="246"/>
      <c r="D795" s="55"/>
      <c r="E795" s="80"/>
      <c r="F795" s="189"/>
      <c r="G795" s="140"/>
      <c r="H795" s="66">
        <f t="shared" ref="H795:H800" si="138">I795+J795</f>
        <v>21990.3</v>
      </c>
      <c r="I795" s="122"/>
      <c r="J795" s="268">
        <v>21990.3</v>
      </c>
      <c r="K795" s="38"/>
      <c r="L795" s="326"/>
      <c r="M795" s="327"/>
      <c r="N795" s="197"/>
      <c r="O795" s="198"/>
      <c r="P795" s="198"/>
    </row>
    <row r="796" spans="1:16" s="38" customFormat="1" ht="15.75" customHeight="1">
      <c r="A796" s="194"/>
      <c r="B796" s="72" t="s">
        <v>85</v>
      </c>
      <c r="C796" s="60"/>
      <c r="D796" s="68"/>
      <c r="E796" s="80"/>
      <c r="F796" s="158"/>
      <c r="G796" s="141"/>
      <c r="H796" s="66">
        <f t="shared" si="138"/>
        <v>3000</v>
      </c>
      <c r="I796" s="122"/>
      <c r="J796" s="268">
        <v>3000</v>
      </c>
      <c r="M796" s="318"/>
      <c r="N796" s="166"/>
      <c r="O796" s="167"/>
      <c r="P796" s="167"/>
    </row>
    <row r="797" spans="1:16" s="38" customFormat="1">
      <c r="A797" s="194"/>
      <c r="B797" s="72" t="s">
        <v>87</v>
      </c>
      <c r="C797" s="60"/>
      <c r="D797" s="68"/>
      <c r="E797" s="80"/>
      <c r="F797" s="158"/>
      <c r="G797" s="141"/>
      <c r="H797" s="66">
        <f t="shared" si="138"/>
        <v>0</v>
      </c>
      <c r="I797" s="122"/>
      <c r="J797" s="268"/>
      <c r="M797" s="318"/>
      <c r="N797" s="166"/>
      <c r="O797" s="167"/>
      <c r="P797" s="167"/>
    </row>
    <row r="798" spans="1:16" s="38" customFormat="1">
      <c r="A798" s="194"/>
      <c r="B798" s="72" t="s">
        <v>31</v>
      </c>
      <c r="C798" s="60"/>
      <c r="D798" s="68"/>
      <c r="E798" s="80"/>
      <c r="F798" s="158"/>
      <c r="G798" s="141"/>
      <c r="H798" s="66">
        <f t="shared" si="138"/>
        <v>0</v>
      </c>
      <c r="I798" s="122"/>
      <c r="J798" s="268"/>
      <c r="M798" s="318"/>
      <c r="N798" s="166"/>
      <c r="O798" s="167"/>
      <c r="P798" s="167"/>
    </row>
    <row r="799" spans="1:16" s="38" customFormat="1">
      <c r="A799" s="194"/>
      <c r="B799" s="72" t="s">
        <v>32</v>
      </c>
      <c r="C799" s="60"/>
      <c r="D799" s="68"/>
      <c r="E799" s="80"/>
      <c r="F799" s="158"/>
      <c r="G799" s="141"/>
      <c r="H799" s="66">
        <f t="shared" si="138"/>
        <v>0</v>
      </c>
      <c r="I799" s="122"/>
      <c r="J799" s="278"/>
      <c r="M799" s="318"/>
      <c r="N799" s="166"/>
      <c r="O799" s="167"/>
      <c r="P799" s="167"/>
    </row>
    <row r="800" spans="1:16" s="38" customFormat="1">
      <c r="A800" s="194"/>
      <c r="B800" s="72" t="s">
        <v>33</v>
      </c>
      <c r="C800" s="60"/>
      <c r="D800" s="68"/>
      <c r="E800" s="80"/>
      <c r="F800" s="158"/>
      <c r="G800" s="141"/>
      <c r="H800" s="66">
        <f t="shared" si="138"/>
        <v>0</v>
      </c>
      <c r="I800" s="122"/>
      <c r="J800" s="278"/>
      <c r="M800" s="318"/>
      <c r="N800" s="166"/>
      <c r="O800" s="167"/>
      <c r="P800" s="167"/>
    </row>
    <row r="801" spans="1:16" s="20" customFormat="1" ht="43.5" customHeight="1">
      <c r="A801" s="194">
        <v>28</v>
      </c>
      <c r="B801" s="130" t="s">
        <v>185</v>
      </c>
      <c r="C801" s="239" t="s">
        <v>282</v>
      </c>
      <c r="D801" s="92" t="s">
        <v>41</v>
      </c>
      <c r="E801" s="92">
        <v>60622.5</v>
      </c>
      <c r="F801" s="190">
        <v>58625.2</v>
      </c>
      <c r="G801" s="140"/>
      <c r="H801" s="113"/>
      <c r="I801" s="113"/>
      <c r="J801" s="275"/>
      <c r="K801" s="38"/>
      <c r="L801" s="290"/>
      <c r="M801" s="286"/>
      <c r="N801" s="144"/>
      <c r="O801" s="145"/>
      <c r="P801" s="145"/>
    </row>
    <row r="802" spans="1:16" s="20" customFormat="1">
      <c r="A802" s="194"/>
      <c r="B802" s="72" t="s">
        <v>86</v>
      </c>
      <c r="C802" s="252"/>
      <c r="D802" s="80"/>
      <c r="E802" s="80" t="s">
        <v>30</v>
      </c>
      <c r="F802" s="189"/>
      <c r="G802" s="140"/>
      <c r="H802" s="66">
        <f t="shared" ref="H802:H807" si="139">I802+J802</f>
        <v>0</v>
      </c>
      <c r="I802" s="122"/>
      <c r="J802" s="278"/>
      <c r="K802" s="38"/>
      <c r="L802" s="290"/>
      <c r="M802" s="291"/>
      <c r="N802" s="144"/>
      <c r="O802" s="145"/>
      <c r="P802" s="145"/>
    </row>
    <row r="803" spans="1:16" s="20" customFormat="1">
      <c r="A803" s="194"/>
      <c r="B803" s="72" t="s">
        <v>85</v>
      </c>
      <c r="C803" s="60"/>
      <c r="D803" s="68"/>
      <c r="E803" s="80"/>
      <c r="F803" s="158"/>
      <c r="G803" s="141"/>
      <c r="H803" s="66">
        <f t="shared" si="139"/>
        <v>0</v>
      </c>
      <c r="I803" s="122"/>
      <c r="J803" s="278"/>
      <c r="K803" s="38"/>
      <c r="L803" s="290"/>
      <c r="M803" s="291"/>
      <c r="N803" s="144"/>
      <c r="O803" s="145"/>
      <c r="P803" s="145"/>
    </row>
    <row r="804" spans="1:16" s="20" customFormat="1">
      <c r="A804" s="194"/>
      <c r="B804" s="72" t="s">
        <v>87</v>
      </c>
      <c r="C804" s="60"/>
      <c r="D804" s="68"/>
      <c r="E804" s="80"/>
      <c r="F804" s="158"/>
      <c r="G804" s="141"/>
      <c r="H804" s="66">
        <f t="shared" si="139"/>
        <v>0</v>
      </c>
      <c r="I804" s="122"/>
      <c r="J804" s="278"/>
      <c r="K804" s="38"/>
      <c r="L804" s="290"/>
      <c r="M804" s="291"/>
      <c r="N804" s="144"/>
      <c r="O804" s="145"/>
      <c r="P804" s="145"/>
    </row>
    <row r="805" spans="1:16" s="20" customFormat="1">
      <c r="A805" s="194"/>
      <c r="B805" s="72" t="s">
        <v>31</v>
      </c>
      <c r="C805" s="60"/>
      <c r="D805" s="68"/>
      <c r="E805" s="80"/>
      <c r="F805" s="158"/>
      <c r="G805" s="141"/>
      <c r="H805" s="66">
        <f t="shared" si="139"/>
        <v>0</v>
      </c>
      <c r="I805" s="122"/>
      <c r="J805" s="278"/>
      <c r="K805" s="38"/>
      <c r="L805" s="290"/>
      <c r="M805" s="291"/>
      <c r="N805" s="144"/>
      <c r="O805" s="145"/>
      <c r="P805" s="145"/>
    </row>
    <row r="806" spans="1:16" s="20" customFormat="1">
      <c r="A806" s="194"/>
      <c r="B806" s="72" t="s">
        <v>32</v>
      </c>
      <c r="C806" s="60"/>
      <c r="D806" s="68"/>
      <c r="E806" s="80"/>
      <c r="F806" s="158"/>
      <c r="G806" s="141"/>
      <c r="H806" s="66">
        <f t="shared" si="139"/>
        <v>0</v>
      </c>
      <c r="I806" s="122"/>
      <c r="J806" s="278"/>
      <c r="K806" s="38"/>
      <c r="L806" s="290"/>
      <c r="M806" s="291"/>
      <c r="N806" s="144"/>
      <c r="O806" s="145"/>
      <c r="P806" s="145"/>
    </row>
    <row r="807" spans="1:16" s="20" customFormat="1">
      <c r="A807" s="194"/>
      <c r="B807" s="72" t="s">
        <v>33</v>
      </c>
      <c r="C807" s="60"/>
      <c r="D807" s="68"/>
      <c r="E807" s="80"/>
      <c r="F807" s="70">
        <v>58625.2</v>
      </c>
      <c r="G807" s="66">
        <f>F807*H4</f>
        <v>443610.98407349765</v>
      </c>
      <c r="H807" s="66">
        <f t="shared" si="139"/>
        <v>0</v>
      </c>
      <c r="I807" s="122"/>
      <c r="J807" s="268"/>
      <c r="K807" s="38"/>
      <c r="L807" s="290"/>
      <c r="M807" s="268">
        <v>154255.79999999999</v>
      </c>
      <c r="N807" s="144"/>
      <c r="O807" s="145"/>
      <c r="P807" s="145"/>
    </row>
    <row r="808" spans="1:16" s="20" customFormat="1" ht="43.5" customHeight="1">
      <c r="A808" s="194">
        <v>29</v>
      </c>
      <c r="B808" s="196" t="s">
        <v>134</v>
      </c>
      <c r="C808" s="239" t="s">
        <v>258</v>
      </c>
      <c r="D808" s="92" t="s">
        <v>27</v>
      </c>
      <c r="E808" s="190">
        <f>F808</f>
        <v>749.4641840719529</v>
      </c>
      <c r="F808" s="190">
        <f>F812</f>
        <v>749.4641840719529</v>
      </c>
      <c r="G808" s="140"/>
      <c r="H808" s="113"/>
      <c r="I808" s="113"/>
      <c r="J808" s="275"/>
      <c r="K808" s="38"/>
      <c r="L808" s="290"/>
      <c r="M808" s="286"/>
      <c r="N808" s="144"/>
      <c r="O808" s="145"/>
      <c r="P808" s="145"/>
    </row>
    <row r="809" spans="1:16" s="20" customFormat="1">
      <c r="A809" s="194"/>
      <c r="B809" s="72" t="s">
        <v>86</v>
      </c>
      <c r="C809" s="252"/>
      <c r="D809" s="80"/>
      <c r="E809" s="80" t="s">
        <v>37</v>
      </c>
      <c r="F809" s="189"/>
      <c r="G809" s="140"/>
      <c r="H809" s="66">
        <f t="shared" ref="H809:H814" si="140">I809+J809</f>
        <v>0</v>
      </c>
      <c r="I809" s="122"/>
      <c r="J809" s="278"/>
      <c r="K809" s="38"/>
      <c r="L809" s="290"/>
      <c r="M809" s="291"/>
      <c r="N809" s="144"/>
      <c r="O809" s="145"/>
      <c r="P809" s="145"/>
    </row>
    <row r="810" spans="1:16" s="20" customFormat="1">
      <c r="A810" s="194"/>
      <c r="B810" s="72" t="s">
        <v>85</v>
      </c>
      <c r="C810" s="60"/>
      <c r="D810" s="68"/>
      <c r="E810" s="80"/>
      <c r="F810" s="158"/>
      <c r="G810" s="141"/>
      <c r="H810" s="66">
        <f t="shared" si="140"/>
        <v>0</v>
      </c>
      <c r="I810" s="122"/>
      <c r="J810" s="278"/>
      <c r="K810" s="38"/>
      <c r="L810" s="290"/>
      <c r="M810" s="291"/>
      <c r="N810" s="144"/>
      <c r="O810" s="145"/>
      <c r="P810" s="145"/>
    </row>
    <row r="811" spans="1:16" s="20" customFormat="1">
      <c r="A811" s="194"/>
      <c r="B811" s="72" t="s">
        <v>87</v>
      </c>
      <c r="C811" s="60"/>
      <c r="D811" s="68"/>
      <c r="E811" s="80"/>
      <c r="F811" s="158"/>
      <c r="G811" s="141"/>
      <c r="H811" s="66">
        <f t="shared" si="140"/>
        <v>0</v>
      </c>
      <c r="I811" s="122"/>
      <c r="J811" s="278"/>
      <c r="K811" s="38"/>
      <c r="L811" s="290"/>
      <c r="M811" s="291"/>
      <c r="N811" s="144"/>
      <c r="O811" s="145"/>
      <c r="P811" s="145"/>
    </row>
    <row r="812" spans="1:16" s="20" customFormat="1">
      <c r="A812" s="194"/>
      <c r="B812" s="72" t="s">
        <v>31</v>
      </c>
      <c r="C812" s="60"/>
      <c r="D812" s="68"/>
      <c r="E812" s="80"/>
      <c r="F812" s="157">
        <f>G812/F4</f>
        <v>749.4641840719529</v>
      </c>
      <c r="G812" s="141">
        <f>F814*F4+H812</f>
        <v>5000</v>
      </c>
      <c r="H812" s="66">
        <f t="shared" si="140"/>
        <v>5000</v>
      </c>
      <c r="I812" s="122"/>
      <c r="J812" s="278">
        <v>5000</v>
      </c>
      <c r="K812" s="38"/>
      <c r="L812" s="290"/>
      <c r="M812" s="291"/>
      <c r="N812" s="144"/>
      <c r="O812" s="145"/>
      <c r="P812" s="145"/>
    </row>
    <row r="813" spans="1:16" s="20" customFormat="1">
      <c r="A813" s="194"/>
      <c r="B813" s="72" t="s">
        <v>32</v>
      </c>
      <c r="C813" s="60"/>
      <c r="D813" s="68"/>
      <c r="E813" s="80"/>
      <c r="F813" s="158"/>
      <c r="G813" s="141"/>
      <c r="H813" s="66">
        <f t="shared" si="140"/>
        <v>0</v>
      </c>
      <c r="I813" s="122"/>
      <c r="J813" s="278"/>
      <c r="K813" s="38"/>
      <c r="L813" s="290"/>
      <c r="M813" s="291"/>
      <c r="N813" s="144"/>
      <c r="O813" s="145"/>
      <c r="P813" s="145"/>
    </row>
    <row r="814" spans="1:16" s="20" customFormat="1">
      <c r="A814" s="194"/>
      <c r="B814" s="72" t="s">
        <v>33</v>
      </c>
      <c r="C814" s="60"/>
      <c r="D814" s="68"/>
      <c r="E814" s="80"/>
      <c r="F814" s="70">
        <f>G814/H4</f>
        <v>0</v>
      </c>
      <c r="G814" s="66">
        <f>H814</f>
        <v>0</v>
      </c>
      <c r="H814" s="66">
        <f t="shared" si="140"/>
        <v>0</v>
      </c>
      <c r="I814" s="122"/>
      <c r="J814" s="278"/>
      <c r="K814" s="38"/>
      <c r="L814" s="290"/>
      <c r="M814" s="278">
        <v>48000</v>
      </c>
      <c r="N814" s="144"/>
      <c r="O814" s="145"/>
      <c r="P814" s="145"/>
    </row>
    <row r="815" spans="1:16" s="9" customFormat="1" ht="42" customHeight="1">
      <c r="A815" s="194">
        <v>30</v>
      </c>
      <c r="B815" s="196" t="s">
        <v>209</v>
      </c>
      <c r="C815" s="239" t="s">
        <v>259</v>
      </c>
      <c r="D815" s="92" t="s">
        <v>83</v>
      </c>
      <c r="E815" s="190">
        <f>F815</f>
        <v>5807.9037437606657</v>
      </c>
      <c r="F815" s="190">
        <f>F817</f>
        <v>5807.9037437606657</v>
      </c>
      <c r="G815" s="140"/>
      <c r="H815" s="113"/>
      <c r="I815" s="113"/>
      <c r="J815" s="275"/>
      <c r="K815" s="38"/>
      <c r="M815" s="286"/>
      <c r="N815" s="63"/>
      <c r="O815" s="56"/>
      <c r="P815" s="56"/>
    </row>
    <row r="816" spans="1:16">
      <c r="A816" s="194"/>
      <c r="B816" s="72" t="s">
        <v>86</v>
      </c>
      <c r="C816" s="252"/>
      <c r="D816" s="80"/>
      <c r="E816" s="80" t="s">
        <v>37</v>
      </c>
      <c r="F816" s="189"/>
      <c r="G816" s="140"/>
      <c r="H816" s="66">
        <f t="shared" ref="H816:H821" si="141">I816+J816</f>
        <v>0</v>
      </c>
      <c r="I816" s="122"/>
      <c r="J816" s="278"/>
      <c r="K816" s="38"/>
      <c r="M816" s="259"/>
      <c r="N816" s="63"/>
      <c r="O816" s="56"/>
      <c r="P816" s="56"/>
    </row>
    <row r="817" spans="1:16">
      <c r="A817" s="194"/>
      <c r="B817" s="72" t="s">
        <v>85</v>
      </c>
      <c r="C817" s="60"/>
      <c r="D817" s="68"/>
      <c r="E817" s="80"/>
      <c r="F817" s="70">
        <f>G817/D4</f>
        <v>5807.9037437606657</v>
      </c>
      <c r="G817" s="66">
        <f>F818*D4+H817</f>
        <v>33906.542056074766</v>
      </c>
      <c r="H817" s="66">
        <f t="shared" si="141"/>
        <v>4000</v>
      </c>
      <c r="I817" s="122"/>
      <c r="J817" s="278">
        <v>4000</v>
      </c>
      <c r="K817" s="38"/>
      <c r="M817" s="259"/>
      <c r="N817" s="63"/>
      <c r="O817" s="56"/>
      <c r="P817" s="56"/>
    </row>
    <row r="818" spans="1:16">
      <c r="A818" s="194"/>
      <c r="B818" s="72" t="s">
        <v>87</v>
      </c>
      <c r="C818" s="60"/>
      <c r="D818" s="68"/>
      <c r="E818" s="80"/>
      <c r="F818" s="70">
        <f>G818/E4</f>
        <v>5122.7375909686134</v>
      </c>
      <c r="G818" s="66">
        <f>H818</f>
        <v>32000</v>
      </c>
      <c r="H818" s="66">
        <f t="shared" si="141"/>
        <v>32000</v>
      </c>
      <c r="I818" s="122"/>
      <c r="J818" s="278">
        <v>32000</v>
      </c>
      <c r="K818" s="38"/>
      <c r="M818" s="259"/>
      <c r="N818" s="63"/>
      <c r="O818" s="56"/>
      <c r="P818" s="56"/>
    </row>
    <row r="819" spans="1:16">
      <c r="A819" s="194"/>
      <c r="B819" s="72" t="s">
        <v>31</v>
      </c>
      <c r="C819" s="60"/>
      <c r="D819" s="68"/>
      <c r="E819" s="80"/>
      <c r="F819" s="158"/>
      <c r="G819" s="141"/>
      <c r="H819" s="66">
        <f t="shared" si="141"/>
        <v>0</v>
      </c>
      <c r="I819" s="122"/>
      <c r="J819" s="278"/>
      <c r="K819" s="38"/>
      <c r="M819" s="259"/>
      <c r="N819" s="63"/>
      <c r="O819" s="56"/>
      <c r="P819" s="56"/>
    </row>
    <row r="820" spans="1:16">
      <c r="A820" s="194"/>
      <c r="B820" s="72" t="s">
        <v>32</v>
      </c>
      <c r="C820" s="60"/>
      <c r="D820" s="68"/>
      <c r="E820" s="80"/>
      <c r="F820" s="158"/>
      <c r="G820" s="141"/>
      <c r="H820" s="66">
        <f t="shared" si="141"/>
        <v>0</v>
      </c>
      <c r="I820" s="122"/>
      <c r="J820" s="278"/>
      <c r="K820" s="38"/>
      <c r="M820" s="259"/>
      <c r="N820" s="63"/>
      <c r="O820" s="56"/>
      <c r="P820" s="56"/>
    </row>
    <row r="821" spans="1:16">
      <c r="A821" s="194"/>
      <c r="B821" s="72" t="s">
        <v>33</v>
      </c>
      <c r="C821" s="60"/>
      <c r="D821" s="68"/>
      <c r="E821" s="80"/>
      <c r="F821" s="158"/>
      <c r="G821" s="141"/>
      <c r="H821" s="66">
        <f t="shared" si="141"/>
        <v>0</v>
      </c>
      <c r="I821" s="122"/>
      <c r="J821" s="278"/>
      <c r="K821" s="38"/>
      <c r="M821" s="259"/>
      <c r="N821" s="63"/>
      <c r="O821" s="56"/>
      <c r="P821" s="56"/>
    </row>
    <row r="822" spans="1:16" s="32" customFormat="1" ht="31.5" customHeight="1">
      <c r="A822" s="194">
        <v>31</v>
      </c>
      <c r="B822" s="196" t="s">
        <v>210</v>
      </c>
      <c r="C822" s="239" t="s">
        <v>260</v>
      </c>
      <c r="D822" s="92" t="s">
        <v>91</v>
      </c>
      <c r="E822" s="190">
        <f>F822</f>
        <v>23402.004398191595</v>
      </c>
      <c r="F822" s="190">
        <f>F824</f>
        <v>23402.004398191595</v>
      </c>
      <c r="G822" s="140"/>
      <c r="H822" s="113"/>
      <c r="I822" s="113"/>
      <c r="J822" s="275"/>
      <c r="K822" s="38"/>
      <c r="L822" s="270"/>
      <c r="M822" s="286"/>
    </row>
    <row r="823" spans="1:16" s="32" customFormat="1">
      <c r="A823" s="194"/>
      <c r="B823" s="72" t="s">
        <v>86</v>
      </c>
      <c r="C823" s="252"/>
      <c r="D823" s="80"/>
      <c r="E823" s="80" t="s">
        <v>37</v>
      </c>
      <c r="F823" s="189"/>
      <c r="G823" s="140"/>
      <c r="H823" s="66">
        <f t="shared" ref="H823:H828" si="142">I823+J823</f>
        <v>0</v>
      </c>
      <c r="I823" s="122"/>
      <c r="J823" s="278"/>
      <c r="K823" s="38"/>
      <c r="L823" s="270"/>
      <c r="M823" s="271"/>
      <c r="N823" s="33"/>
    </row>
    <row r="824" spans="1:16" s="32" customFormat="1">
      <c r="A824" s="194"/>
      <c r="B824" s="72" t="s">
        <v>85</v>
      </c>
      <c r="C824" s="60"/>
      <c r="D824" s="68"/>
      <c r="E824" s="80"/>
      <c r="F824" s="70">
        <f>G824/D4</f>
        <v>23402.004398191595</v>
      </c>
      <c r="G824" s="66">
        <f>F825*D4+H824</f>
        <v>136620.90167664253</v>
      </c>
      <c r="H824" s="66">
        <f t="shared" si="142"/>
        <v>7000</v>
      </c>
      <c r="I824" s="122"/>
      <c r="J824" s="278">
        <v>7000</v>
      </c>
      <c r="K824" s="38"/>
      <c r="L824" s="270"/>
      <c r="M824" s="271"/>
    </row>
    <row r="825" spans="1:16" s="32" customFormat="1">
      <c r="A825" s="194"/>
      <c r="B825" s="72" t="s">
        <v>87</v>
      </c>
      <c r="C825" s="60"/>
      <c r="D825" s="68"/>
      <c r="E825" s="80"/>
      <c r="F825" s="70">
        <f>G825/E4</f>
        <v>22202.963630805501</v>
      </c>
      <c r="G825" s="66">
        <f>F826*E4+H825</f>
        <v>138694.3647940075</v>
      </c>
      <c r="H825" s="66">
        <f t="shared" si="142"/>
        <v>75376.2</v>
      </c>
      <c r="I825" s="122"/>
      <c r="J825" s="278">
        <v>75376.2</v>
      </c>
      <c r="K825" s="38"/>
      <c r="L825" s="270"/>
      <c r="M825" s="271"/>
    </row>
    <row r="826" spans="1:16" s="18" customFormat="1">
      <c r="A826" s="194"/>
      <c r="B826" s="72" t="s">
        <v>31</v>
      </c>
      <c r="C826" s="60"/>
      <c r="D826" s="68"/>
      <c r="E826" s="80"/>
      <c r="F826" s="70">
        <f>G826/F4</f>
        <v>10136.323218168987</v>
      </c>
      <c r="G826" s="66">
        <f>H826</f>
        <v>67623.8</v>
      </c>
      <c r="H826" s="66">
        <f t="shared" si="142"/>
        <v>67623.8</v>
      </c>
      <c r="I826" s="122"/>
      <c r="J826" s="278">
        <v>67623.8</v>
      </c>
      <c r="K826" s="38"/>
      <c r="L826" s="270">
        <f>K938-J938</f>
        <v>-218674.80000000005</v>
      </c>
      <c r="M826" s="271"/>
      <c r="N826" s="107"/>
      <c r="O826" s="108"/>
      <c r="P826" s="108"/>
    </row>
    <row r="827" spans="1:16" s="18" customFormat="1">
      <c r="A827" s="194"/>
      <c r="B827" s="72" t="s">
        <v>32</v>
      </c>
      <c r="C827" s="60"/>
      <c r="D827" s="68"/>
      <c r="E827" s="80"/>
      <c r="F827" s="158"/>
      <c r="G827" s="141"/>
      <c r="H827" s="66">
        <f t="shared" si="142"/>
        <v>0</v>
      </c>
      <c r="I827" s="122"/>
      <c r="J827" s="278"/>
      <c r="K827" s="38"/>
      <c r="L827" s="270">
        <f>K939-J939</f>
        <v>3943.9000000000233</v>
      </c>
      <c r="M827" s="271"/>
      <c r="N827" s="107">
        <f>H939-808197.4</f>
        <v>-212141.30000000005</v>
      </c>
      <c r="O827" s="108"/>
      <c r="P827" s="108"/>
    </row>
    <row r="828" spans="1:16" s="18" customFormat="1">
      <c r="A828" s="194"/>
      <c r="B828" s="72" t="s">
        <v>33</v>
      </c>
      <c r="C828" s="60"/>
      <c r="D828" s="68"/>
      <c r="E828" s="80"/>
      <c r="F828" s="158"/>
      <c r="G828" s="141"/>
      <c r="H828" s="66">
        <f t="shared" si="142"/>
        <v>0</v>
      </c>
      <c r="I828" s="122"/>
      <c r="J828" s="278"/>
      <c r="K828" s="38"/>
      <c r="L828" s="270">
        <f>K940-J940</f>
        <v>79257.599999999977</v>
      </c>
      <c r="M828" s="271"/>
      <c r="N828" s="107">
        <f>H940-953390.2</f>
        <v>-322647.79999999993</v>
      </c>
      <c r="O828" s="108"/>
      <c r="P828" s="108"/>
    </row>
    <row r="829" spans="1:16" s="34" customFormat="1" ht="40.5" customHeight="1">
      <c r="A829" s="194">
        <v>32</v>
      </c>
      <c r="B829" s="196" t="s">
        <v>307</v>
      </c>
      <c r="C829" s="239" t="s">
        <v>261</v>
      </c>
      <c r="D829" s="92" t="s">
        <v>91</v>
      </c>
      <c r="E829" s="190">
        <f>F829</f>
        <v>10599.492083925454</v>
      </c>
      <c r="F829" s="190">
        <f>F831</f>
        <v>10599.492083925454</v>
      </c>
      <c r="G829" s="140"/>
      <c r="H829" s="113"/>
      <c r="I829" s="113"/>
      <c r="J829" s="275"/>
      <c r="K829" s="38"/>
      <c r="L829" s="290"/>
      <c r="M829" s="286"/>
      <c r="N829" s="144"/>
      <c r="O829" s="145"/>
      <c r="P829" s="145"/>
    </row>
    <row r="830" spans="1:16" s="34" customFormat="1">
      <c r="A830" s="194"/>
      <c r="B830" s="72" t="s">
        <v>86</v>
      </c>
      <c r="C830" s="252"/>
      <c r="D830" s="80"/>
      <c r="E830" s="80" t="s">
        <v>37</v>
      </c>
      <c r="F830" s="189"/>
      <c r="G830" s="140"/>
      <c r="H830" s="66">
        <f t="shared" ref="H830:H835" si="143">I830+J830</f>
        <v>0</v>
      </c>
      <c r="I830" s="122"/>
      <c r="J830" s="278"/>
      <c r="K830" s="38"/>
      <c r="L830" s="290"/>
      <c r="M830" s="291"/>
      <c r="N830" s="199">
        <f>H942-1978474.2</f>
        <v>-132478.80000000005</v>
      </c>
      <c r="O830" s="200">
        <f>I942-497994.6</f>
        <v>0</v>
      </c>
      <c r="P830" s="145"/>
    </row>
    <row r="831" spans="1:16" s="34" customFormat="1">
      <c r="A831" s="194"/>
      <c r="B831" s="72" t="s">
        <v>85</v>
      </c>
      <c r="C831" s="60"/>
      <c r="D831" s="68"/>
      <c r="E831" s="80"/>
      <c r="F831" s="70">
        <f>G831/D4</f>
        <v>10599.492083925454</v>
      </c>
      <c r="G831" s="70">
        <f>F833*D4+H831</f>
        <v>61879.834785956795</v>
      </c>
      <c r="H831" s="66">
        <f t="shared" si="143"/>
        <v>5000</v>
      </c>
      <c r="I831" s="122"/>
      <c r="J831" s="278">
        <v>5000</v>
      </c>
      <c r="K831" s="38"/>
      <c r="L831" s="290"/>
      <c r="M831" s="291"/>
      <c r="N831" s="172"/>
      <c r="O831" s="174"/>
      <c r="P831" s="145"/>
    </row>
    <row r="832" spans="1:16" s="34" customFormat="1">
      <c r="A832" s="194"/>
      <c r="B832" s="72" t="s">
        <v>87</v>
      </c>
      <c r="C832" s="60"/>
      <c r="D832" s="68"/>
      <c r="E832" s="80"/>
      <c r="F832" s="70"/>
      <c r="G832" s="70"/>
      <c r="H832" s="66">
        <f t="shared" si="143"/>
        <v>0</v>
      </c>
      <c r="I832" s="122"/>
      <c r="J832" s="278"/>
      <c r="K832" s="38"/>
      <c r="L832" s="290"/>
      <c r="M832" s="291"/>
      <c r="N832" s="201"/>
      <c r="O832" s="174"/>
      <c r="P832" s="145"/>
    </row>
    <row r="833" spans="1:16" s="34" customFormat="1">
      <c r="A833" s="194"/>
      <c r="B833" s="72" t="s">
        <v>31</v>
      </c>
      <c r="C833" s="60"/>
      <c r="D833" s="68"/>
      <c r="E833" s="80"/>
      <c r="F833" s="70">
        <f>G833/F4</f>
        <v>9743.0343929353876</v>
      </c>
      <c r="G833" s="70">
        <f>H833</f>
        <v>65000</v>
      </c>
      <c r="H833" s="66">
        <f t="shared" si="143"/>
        <v>65000</v>
      </c>
      <c r="I833" s="122"/>
      <c r="J833" s="278">
        <v>65000</v>
      </c>
      <c r="K833" s="38"/>
      <c r="L833" s="290"/>
      <c r="M833" s="291"/>
      <c r="N833" s="144"/>
      <c r="O833" s="145"/>
      <c r="P833" s="145"/>
    </row>
    <row r="834" spans="1:16" s="34" customFormat="1">
      <c r="A834" s="194"/>
      <c r="B834" s="72" t="s">
        <v>32</v>
      </c>
      <c r="C834" s="60"/>
      <c r="D834" s="68"/>
      <c r="E834" s="80"/>
      <c r="F834" s="158"/>
      <c r="G834" s="141"/>
      <c r="H834" s="66">
        <f t="shared" si="143"/>
        <v>0</v>
      </c>
      <c r="I834" s="122"/>
      <c r="J834" s="278"/>
      <c r="K834" s="38"/>
      <c r="L834" s="290"/>
      <c r="M834" s="291"/>
      <c r="N834" s="144" t="s">
        <v>324</v>
      </c>
      <c r="O834" s="145"/>
      <c r="P834" s="145"/>
    </row>
    <row r="835" spans="1:16" s="34" customFormat="1">
      <c r="A835" s="194"/>
      <c r="B835" s="72" t="s">
        <v>33</v>
      </c>
      <c r="C835" s="60"/>
      <c r="D835" s="68"/>
      <c r="E835" s="80"/>
      <c r="F835" s="158"/>
      <c r="G835" s="141"/>
      <c r="H835" s="66">
        <f t="shared" si="143"/>
        <v>0</v>
      </c>
      <c r="I835" s="122"/>
      <c r="J835" s="278"/>
      <c r="K835" s="38"/>
      <c r="L835" s="290"/>
      <c r="M835" s="291"/>
      <c r="N835" s="144" t="s">
        <v>324</v>
      </c>
      <c r="O835" s="145"/>
      <c r="P835" s="145"/>
    </row>
    <row r="836" spans="1:16" s="20" customFormat="1" ht="27.75" customHeight="1">
      <c r="A836" s="194">
        <v>33</v>
      </c>
      <c r="B836" s="196" t="s">
        <v>211</v>
      </c>
      <c r="C836" s="239" t="s">
        <v>262</v>
      </c>
      <c r="D836" s="92" t="s">
        <v>91</v>
      </c>
      <c r="E836" s="190">
        <f>F836</f>
        <v>17687.252816969056</v>
      </c>
      <c r="F836" s="190">
        <f>F838</f>
        <v>17687.252816969056</v>
      </c>
      <c r="G836" s="140"/>
      <c r="H836" s="113"/>
      <c r="I836" s="113"/>
      <c r="J836" s="275"/>
      <c r="K836" s="38"/>
      <c r="L836" s="290"/>
      <c r="M836" s="286"/>
      <c r="N836" s="144"/>
      <c r="O836" s="145"/>
      <c r="P836" s="145"/>
    </row>
    <row r="837" spans="1:16" s="20" customFormat="1">
      <c r="A837" s="194"/>
      <c r="B837" s="72" t="s">
        <v>86</v>
      </c>
      <c r="C837" s="252"/>
      <c r="D837" s="80"/>
      <c r="E837" s="80" t="s">
        <v>37</v>
      </c>
      <c r="F837" s="189"/>
      <c r="G837" s="140"/>
      <c r="H837" s="66">
        <f t="shared" ref="H837:H842" si="144">I837+J837</f>
        <v>0</v>
      </c>
      <c r="I837" s="122"/>
      <c r="J837" s="278"/>
      <c r="K837" s="38"/>
      <c r="L837" s="290"/>
      <c r="M837" s="291"/>
      <c r="N837" s="144"/>
      <c r="O837" s="145"/>
      <c r="P837" s="145"/>
    </row>
    <row r="838" spans="1:16" s="20" customFormat="1">
      <c r="A838" s="194"/>
      <c r="B838" s="72" t="s">
        <v>85</v>
      </c>
      <c r="C838" s="60"/>
      <c r="D838" s="68"/>
      <c r="E838" s="80"/>
      <c r="F838" s="70">
        <f>G838/D4</f>
        <v>17687.252816969056</v>
      </c>
      <c r="G838" s="66">
        <f>F840*D4+H838</f>
        <v>103258.18194546536</v>
      </c>
      <c r="H838" s="66">
        <f t="shared" si="144"/>
        <v>7000</v>
      </c>
      <c r="I838" s="122"/>
      <c r="J838" s="278">
        <v>7000</v>
      </c>
      <c r="K838" s="38"/>
      <c r="L838" s="290"/>
      <c r="M838" s="291"/>
      <c r="N838" s="144"/>
      <c r="O838" s="145"/>
      <c r="P838" s="145"/>
    </row>
    <row r="839" spans="1:16" s="20" customFormat="1">
      <c r="A839" s="194"/>
      <c r="B839" s="72" t="s">
        <v>87</v>
      </c>
      <c r="C839" s="60"/>
      <c r="D839" s="68"/>
      <c r="E839" s="80"/>
      <c r="F839" s="70"/>
      <c r="G839" s="66"/>
      <c r="H839" s="66">
        <f t="shared" si="144"/>
        <v>0</v>
      </c>
      <c r="I839" s="122"/>
      <c r="J839" s="278"/>
      <c r="K839" s="38"/>
      <c r="L839" s="290"/>
      <c r="M839" s="291"/>
      <c r="N839" s="144"/>
      <c r="O839" s="145"/>
      <c r="P839" s="145"/>
    </row>
    <row r="840" spans="1:16" s="20" customFormat="1">
      <c r="A840" s="194"/>
      <c r="B840" s="72" t="s">
        <v>31</v>
      </c>
      <c r="C840" s="60"/>
      <c r="D840" s="68"/>
      <c r="E840" s="80"/>
      <c r="F840" s="70">
        <f>G840/F4</f>
        <v>16488.212049582966</v>
      </c>
      <c r="G840" s="66">
        <f>H840</f>
        <v>110000</v>
      </c>
      <c r="H840" s="66">
        <f t="shared" si="144"/>
        <v>110000</v>
      </c>
      <c r="I840" s="122"/>
      <c r="J840" s="278">
        <v>110000</v>
      </c>
      <c r="K840" s="38"/>
      <c r="L840" s="290"/>
      <c r="M840" s="291"/>
      <c r="N840" s="144"/>
      <c r="O840" s="145"/>
      <c r="P840" s="145"/>
    </row>
    <row r="841" spans="1:16" s="20" customFormat="1">
      <c r="A841" s="194"/>
      <c r="B841" s="72" t="s">
        <v>32</v>
      </c>
      <c r="C841" s="60"/>
      <c r="D841" s="68"/>
      <c r="E841" s="80"/>
      <c r="F841" s="158"/>
      <c r="G841" s="141"/>
      <c r="H841" s="66">
        <f t="shared" si="144"/>
        <v>0</v>
      </c>
      <c r="I841" s="122"/>
      <c r="J841" s="278"/>
      <c r="K841" s="38"/>
      <c r="L841" s="290"/>
      <c r="M841" s="291"/>
      <c r="N841" s="144"/>
      <c r="O841" s="145"/>
      <c r="P841" s="145"/>
    </row>
    <row r="842" spans="1:16" s="20" customFormat="1">
      <c r="A842" s="194"/>
      <c r="B842" s="72" t="s">
        <v>33</v>
      </c>
      <c r="C842" s="60"/>
      <c r="D842" s="68"/>
      <c r="E842" s="80"/>
      <c r="F842" s="158"/>
      <c r="G842" s="141"/>
      <c r="H842" s="66">
        <f t="shared" si="144"/>
        <v>0</v>
      </c>
      <c r="I842" s="122"/>
      <c r="J842" s="278"/>
      <c r="K842" s="38"/>
      <c r="L842" s="290"/>
      <c r="M842" s="291"/>
      <c r="N842" s="144"/>
      <c r="O842" s="145"/>
      <c r="P842" s="145"/>
    </row>
    <row r="843" spans="1:16" s="20" customFormat="1" ht="38.25">
      <c r="A843" s="194">
        <v>34</v>
      </c>
      <c r="B843" s="196" t="s">
        <v>263</v>
      </c>
      <c r="C843" s="239" t="s">
        <v>261</v>
      </c>
      <c r="D843" s="92" t="s">
        <v>91</v>
      </c>
      <c r="E843" s="190">
        <f>F843</f>
        <v>8179.8079935115811</v>
      </c>
      <c r="F843" s="190">
        <f>F845</f>
        <v>8179.8079935115811</v>
      </c>
      <c r="G843" s="140"/>
      <c r="H843" s="113"/>
      <c r="I843" s="113"/>
      <c r="J843" s="275"/>
      <c r="K843" s="302"/>
      <c r="L843" s="290"/>
      <c r="M843" s="286"/>
      <c r="N843" s="144"/>
      <c r="O843" s="145"/>
      <c r="P843" s="145"/>
    </row>
    <row r="844" spans="1:16" s="20" customFormat="1">
      <c r="A844" s="194"/>
      <c r="B844" s="72" t="s">
        <v>86</v>
      </c>
      <c r="C844" s="252"/>
      <c r="D844" s="80"/>
      <c r="E844" s="80"/>
      <c r="F844" s="189"/>
      <c r="G844" s="140"/>
      <c r="H844" s="66">
        <f t="shared" ref="H844:H849" si="145">I844+J844</f>
        <v>0</v>
      </c>
      <c r="I844" s="122"/>
      <c r="J844" s="278"/>
      <c r="K844" s="302"/>
      <c r="L844" s="290"/>
      <c r="M844" s="291"/>
      <c r="N844" s="144"/>
      <c r="O844" s="145"/>
      <c r="P844" s="145"/>
    </row>
    <row r="845" spans="1:16" s="20" customFormat="1">
      <c r="A845" s="194"/>
      <c r="B845" s="72" t="s">
        <v>85</v>
      </c>
      <c r="C845" s="60"/>
      <c r="D845" s="68"/>
      <c r="E845" s="80"/>
      <c r="F845" s="70">
        <f>G845/D4</f>
        <v>8179.8079935115811</v>
      </c>
      <c r="G845" s="66">
        <f>F847*D4+H845</f>
        <v>47753.719066120611</v>
      </c>
      <c r="H845" s="66">
        <f t="shared" si="145"/>
        <v>4000</v>
      </c>
      <c r="I845" s="122"/>
      <c r="J845" s="278">
        <v>4000</v>
      </c>
      <c r="K845" s="302"/>
      <c r="L845" s="290"/>
      <c r="M845" s="291"/>
      <c r="N845" s="144"/>
      <c r="O845" s="145"/>
      <c r="P845" s="145"/>
    </row>
    <row r="846" spans="1:16" s="20" customFormat="1">
      <c r="A846" s="194"/>
      <c r="B846" s="72" t="s">
        <v>87</v>
      </c>
      <c r="C846" s="60"/>
      <c r="D846" s="68"/>
      <c r="E846" s="80"/>
      <c r="F846" s="70"/>
      <c r="G846" s="66"/>
      <c r="H846" s="66">
        <f t="shared" si="145"/>
        <v>0</v>
      </c>
      <c r="I846" s="122"/>
      <c r="J846" s="278"/>
      <c r="K846" s="302"/>
      <c r="L846" s="290"/>
      <c r="M846" s="291"/>
      <c r="N846" s="144"/>
      <c r="O846" s="145"/>
      <c r="P846" s="145"/>
    </row>
    <row r="847" spans="1:16" s="20" customFormat="1">
      <c r="A847" s="194"/>
      <c r="B847" s="72" t="s">
        <v>31</v>
      </c>
      <c r="C847" s="60"/>
      <c r="D847" s="68"/>
      <c r="E847" s="80"/>
      <c r="F847" s="70">
        <f>G847/F4</f>
        <v>7494.6418407195297</v>
      </c>
      <c r="G847" s="66">
        <f>H847</f>
        <v>50000</v>
      </c>
      <c r="H847" s="66">
        <f t="shared" si="145"/>
        <v>50000</v>
      </c>
      <c r="I847" s="122"/>
      <c r="J847" s="278">
        <v>50000</v>
      </c>
      <c r="K847" s="302"/>
      <c r="L847" s="290"/>
      <c r="M847" s="291"/>
      <c r="N847" s="144"/>
      <c r="O847" s="145"/>
      <c r="P847" s="145"/>
    </row>
    <row r="848" spans="1:16" s="20" customFormat="1" ht="16.5" customHeight="1">
      <c r="A848" s="194"/>
      <c r="B848" s="72" t="s">
        <v>32</v>
      </c>
      <c r="C848" s="60"/>
      <c r="D848" s="68"/>
      <c r="E848" s="80"/>
      <c r="F848" s="158"/>
      <c r="G848" s="141"/>
      <c r="H848" s="66">
        <f t="shared" si="145"/>
        <v>0</v>
      </c>
      <c r="I848" s="122"/>
      <c r="J848" s="278"/>
      <c r="K848" s="302"/>
      <c r="L848" s="290"/>
      <c r="M848" s="291"/>
      <c r="N848" s="144"/>
      <c r="O848" s="145"/>
      <c r="P848" s="145"/>
    </row>
    <row r="849" spans="1:16" s="20" customFormat="1">
      <c r="A849" s="194"/>
      <c r="B849" s="72" t="s">
        <v>33</v>
      </c>
      <c r="C849" s="60"/>
      <c r="D849" s="68"/>
      <c r="E849" s="80"/>
      <c r="F849" s="158"/>
      <c r="G849" s="141"/>
      <c r="H849" s="66">
        <f t="shared" si="145"/>
        <v>0</v>
      </c>
      <c r="I849" s="122"/>
      <c r="J849" s="278"/>
      <c r="K849" s="302"/>
      <c r="L849" s="290"/>
      <c r="M849" s="291"/>
      <c r="N849" s="144"/>
      <c r="O849" s="145"/>
      <c r="P849" s="145"/>
    </row>
    <row r="850" spans="1:16" s="20" customFormat="1" ht="80.25" customHeight="1">
      <c r="A850" s="194">
        <v>35</v>
      </c>
      <c r="B850" s="196" t="s">
        <v>212</v>
      </c>
      <c r="C850" s="239" t="s">
        <v>264</v>
      </c>
      <c r="D850" s="92" t="s">
        <v>28</v>
      </c>
      <c r="E850" s="190">
        <v>178506.4</v>
      </c>
      <c r="F850" s="190">
        <f>E850</f>
        <v>178506.4</v>
      </c>
      <c r="G850" s="140"/>
      <c r="H850" s="113"/>
      <c r="I850" s="113"/>
      <c r="J850" s="275"/>
      <c r="K850" s="38"/>
      <c r="L850" s="290"/>
      <c r="M850" s="286"/>
      <c r="N850" s="144"/>
      <c r="O850" s="145"/>
      <c r="P850" s="145"/>
    </row>
    <row r="851" spans="1:16" s="20" customFormat="1">
      <c r="A851" s="194"/>
      <c r="B851" s="72" t="s">
        <v>86</v>
      </c>
      <c r="C851" s="252"/>
      <c r="D851" s="80"/>
      <c r="E851" s="80" t="s">
        <v>286</v>
      </c>
      <c r="F851" s="189"/>
      <c r="G851" s="140"/>
      <c r="H851" s="66">
        <f t="shared" ref="H851:H856" si="146">I851+J851</f>
        <v>0</v>
      </c>
      <c r="I851" s="122"/>
      <c r="J851" s="278"/>
      <c r="K851" s="261"/>
      <c r="L851" s="290"/>
      <c r="M851" s="291"/>
      <c r="N851" s="144"/>
      <c r="O851" s="145"/>
      <c r="P851" s="145"/>
    </row>
    <row r="852" spans="1:16" s="20" customFormat="1">
      <c r="A852" s="194"/>
      <c r="B852" s="72" t="s">
        <v>85</v>
      </c>
      <c r="C852" s="60"/>
      <c r="D852" s="68"/>
      <c r="E852" s="80"/>
      <c r="F852" s="158"/>
      <c r="G852" s="141"/>
      <c r="H852" s="66">
        <f t="shared" si="146"/>
        <v>0</v>
      </c>
      <c r="I852" s="122"/>
      <c r="J852" s="278">
        <v>0</v>
      </c>
      <c r="K852" s="261"/>
      <c r="L852" s="290"/>
      <c r="M852" s="291"/>
      <c r="N852" s="144"/>
      <c r="O852" s="145"/>
      <c r="P852" s="145"/>
    </row>
    <row r="853" spans="1:16" s="20" customFormat="1">
      <c r="A853" s="194"/>
      <c r="B853" s="72" t="s">
        <v>87</v>
      </c>
      <c r="C853" s="60"/>
      <c r="D853" s="68"/>
      <c r="E853" s="80"/>
      <c r="F853" s="158"/>
      <c r="G853" s="141"/>
      <c r="H853" s="66">
        <f t="shared" si="146"/>
        <v>0</v>
      </c>
      <c r="I853" s="122"/>
      <c r="J853" s="278"/>
      <c r="K853" s="261"/>
      <c r="L853" s="290"/>
      <c r="M853" s="291"/>
      <c r="N853" s="144"/>
      <c r="O853" s="145"/>
      <c r="P853" s="145"/>
    </row>
    <row r="854" spans="1:16" s="20" customFormat="1">
      <c r="A854" s="194"/>
      <c r="B854" s="72" t="s">
        <v>31</v>
      </c>
      <c r="C854" s="60"/>
      <c r="D854" s="68"/>
      <c r="E854" s="80"/>
      <c r="F854" s="70">
        <f>F850</f>
        <v>178506.4</v>
      </c>
      <c r="G854" s="66">
        <f>F854*F4</f>
        <v>1190893.4662504322</v>
      </c>
      <c r="H854" s="66">
        <f t="shared" si="146"/>
        <v>35000</v>
      </c>
      <c r="I854" s="122"/>
      <c r="J854" s="278">
        <v>35000</v>
      </c>
      <c r="K854" s="261"/>
      <c r="L854" s="290"/>
      <c r="M854" s="291"/>
      <c r="N854" s="144"/>
      <c r="O854" s="145"/>
      <c r="P854" s="145"/>
    </row>
    <row r="855" spans="1:16" s="20" customFormat="1">
      <c r="A855" s="194"/>
      <c r="B855" s="72" t="s">
        <v>32</v>
      </c>
      <c r="C855" s="60"/>
      <c r="D855" s="68"/>
      <c r="E855" s="80"/>
      <c r="F855" s="70">
        <f>F854-H854/F4</f>
        <v>173260.15071149633</v>
      </c>
      <c r="G855" s="66">
        <f>F855*G4</f>
        <v>1232182.4350229609</v>
      </c>
      <c r="H855" s="66">
        <f t="shared" si="146"/>
        <v>0</v>
      </c>
      <c r="I855" s="122"/>
      <c r="J855" s="278"/>
      <c r="K855" s="261"/>
      <c r="L855" s="290"/>
      <c r="M855" s="278">
        <v>98782.5</v>
      </c>
      <c r="N855" s="144"/>
      <c r="O855" s="145"/>
      <c r="P855" s="145"/>
    </row>
    <row r="856" spans="1:16" s="20" customFormat="1">
      <c r="A856" s="194"/>
      <c r="B856" s="72" t="s">
        <v>33</v>
      </c>
      <c r="C856" s="60"/>
      <c r="D856" s="68"/>
      <c r="E856" s="80"/>
      <c r="F856" s="70">
        <f>F855-H855/G4</f>
        <v>173260.15071149633</v>
      </c>
      <c r="G856" s="66">
        <f>F856*H4</f>
        <v>1311042.1108644304</v>
      </c>
      <c r="H856" s="66">
        <f t="shared" si="146"/>
        <v>0</v>
      </c>
      <c r="I856" s="122"/>
      <c r="J856" s="278"/>
      <c r="K856" s="261"/>
      <c r="L856" s="290"/>
      <c r="M856" s="278">
        <v>174882.4</v>
      </c>
      <c r="N856" s="144"/>
      <c r="O856" s="145"/>
      <c r="P856" s="145"/>
    </row>
    <row r="857" spans="1:16" s="20" customFormat="1" ht="93.75" customHeight="1">
      <c r="A857" s="194">
        <v>36</v>
      </c>
      <c r="B857" s="196" t="s">
        <v>213</v>
      </c>
      <c r="C857" s="239" t="s">
        <v>21</v>
      </c>
      <c r="D857" s="92" t="s">
        <v>84</v>
      </c>
      <c r="E857" s="189"/>
      <c r="F857" s="189"/>
      <c r="G857" s="140"/>
      <c r="H857" s="113"/>
      <c r="I857" s="113"/>
      <c r="J857" s="275"/>
      <c r="K857" s="261"/>
      <c r="L857" s="290"/>
      <c r="M857" s="286"/>
      <c r="N857" s="144"/>
      <c r="O857" s="145"/>
      <c r="P857" s="145"/>
    </row>
    <row r="858" spans="1:16" s="20" customFormat="1">
      <c r="A858" s="194"/>
      <c r="B858" s="72" t="s">
        <v>86</v>
      </c>
      <c r="C858" s="252"/>
      <c r="D858" s="80"/>
      <c r="E858" s="80"/>
      <c r="F858" s="189"/>
      <c r="G858" s="140"/>
      <c r="H858" s="66">
        <f t="shared" ref="H858:H863" si="147">I858+J858</f>
        <v>34100</v>
      </c>
      <c r="I858" s="122"/>
      <c r="J858" s="278">
        <v>34100</v>
      </c>
      <c r="K858" s="261"/>
      <c r="L858" s="290"/>
      <c r="M858" s="291"/>
      <c r="N858" s="144"/>
      <c r="O858" s="145"/>
      <c r="P858" s="145"/>
    </row>
    <row r="859" spans="1:16" s="40" customFormat="1" ht="21.75" customHeight="1">
      <c r="A859" s="194"/>
      <c r="B859" s="72" t="s">
        <v>85</v>
      </c>
      <c r="C859" s="60"/>
      <c r="D859" s="68"/>
      <c r="E859" s="80"/>
      <c r="F859" s="158"/>
      <c r="G859" s="141"/>
      <c r="H859" s="66">
        <f t="shared" si="147"/>
        <v>31036.400000000001</v>
      </c>
      <c r="I859" s="122"/>
      <c r="J859" s="278">
        <v>31036.400000000001</v>
      </c>
      <c r="K859" s="261"/>
      <c r="L859" s="270"/>
      <c r="M859" s="291"/>
      <c r="N859" s="32"/>
      <c r="O859" s="32"/>
      <c r="P859" s="32"/>
    </row>
    <row r="860" spans="1:16" s="40" customFormat="1">
      <c r="A860" s="194"/>
      <c r="B860" s="72" t="s">
        <v>87</v>
      </c>
      <c r="C860" s="60"/>
      <c r="D860" s="68"/>
      <c r="E860" s="80"/>
      <c r="F860" s="158"/>
      <c r="G860" s="141"/>
      <c r="H860" s="66">
        <f t="shared" si="147"/>
        <v>0</v>
      </c>
      <c r="I860" s="122"/>
      <c r="J860" s="278"/>
      <c r="K860" s="261"/>
      <c r="L860" s="329">
        <f t="shared" ref="K860:L972" si="148">L846+L853</f>
        <v>0</v>
      </c>
      <c r="M860" s="291"/>
      <c r="N860" s="33"/>
      <c r="O860" s="32"/>
      <c r="P860" s="32"/>
    </row>
    <row r="861" spans="1:16" s="40" customFormat="1">
      <c r="A861" s="194"/>
      <c r="B861" s="72" t="s">
        <v>31</v>
      </c>
      <c r="C861" s="60"/>
      <c r="D861" s="68"/>
      <c r="E861" s="80"/>
      <c r="F861" s="158"/>
      <c r="G861" s="141"/>
      <c r="H861" s="66">
        <f t="shared" si="147"/>
        <v>0</v>
      </c>
      <c r="I861" s="122"/>
      <c r="J861" s="278"/>
      <c r="K861" s="261"/>
      <c r="L861" s="329">
        <f t="shared" ref="K861:L973" si="149">L847+L854</f>
        <v>0</v>
      </c>
      <c r="M861" s="291"/>
      <c r="N861" s="32"/>
      <c r="O861" s="32"/>
      <c r="P861" s="32"/>
    </row>
    <row r="862" spans="1:16" s="40" customFormat="1">
      <c r="A862" s="194"/>
      <c r="B862" s="72" t="s">
        <v>32</v>
      </c>
      <c r="C862" s="60"/>
      <c r="D862" s="68"/>
      <c r="E862" s="80"/>
      <c r="F862" s="158"/>
      <c r="G862" s="141"/>
      <c r="H862" s="66">
        <f t="shared" si="147"/>
        <v>0</v>
      </c>
      <c r="I862" s="122"/>
      <c r="J862" s="278"/>
      <c r="K862" s="261"/>
      <c r="L862" s="329">
        <f t="shared" ref="K862:L974" si="150">L848+L855</f>
        <v>0</v>
      </c>
      <c r="M862" s="291"/>
      <c r="N862" s="32"/>
      <c r="O862" s="32"/>
      <c r="P862" s="32"/>
    </row>
    <row r="863" spans="1:16" s="41" customFormat="1">
      <c r="A863" s="194"/>
      <c r="B863" s="72" t="s">
        <v>33</v>
      </c>
      <c r="C863" s="60"/>
      <c r="D863" s="68"/>
      <c r="E863" s="80"/>
      <c r="F863" s="158"/>
      <c r="G863" s="141"/>
      <c r="H863" s="66">
        <f t="shared" si="147"/>
        <v>0</v>
      </c>
      <c r="I863" s="122"/>
      <c r="J863" s="278"/>
      <c r="K863" s="261"/>
      <c r="L863" s="329">
        <f t="shared" ref="K863:L975" si="151">L849+L856</f>
        <v>0</v>
      </c>
      <c r="M863" s="291"/>
      <c r="N863" s="107"/>
      <c r="O863" s="108"/>
      <c r="P863" s="108"/>
    </row>
    <row r="864" spans="1:16" s="41" customFormat="1" ht="63.75">
      <c r="A864" s="194">
        <v>37</v>
      </c>
      <c r="B864" s="196" t="s">
        <v>148</v>
      </c>
      <c r="C864" s="239" t="s">
        <v>108</v>
      </c>
      <c r="D864" s="92">
        <v>2010</v>
      </c>
      <c r="E864" s="190">
        <v>683.78</v>
      </c>
      <c r="F864" s="190">
        <v>651.16906474820144</v>
      </c>
      <c r="G864" s="140"/>
      <c r="H864" s="113"/>
      <c r="I864" s="113"/>
      <c r="J864" s="275"/>
      <c r="K864" s="261"/>
      <c r="L864" s="329">
        <f t="shared" ref="K864:L976" si="152">L850+L857</f>
        <v>0</v>
      </c>
      <c r="M864" s="286"/>
      <c r="N864" s="107"/>
      <c r="O864" s="108"/>
      <c r="P864" s="108"/>
    </row>
    <row r="865" spans="1:16" s="41" customFormat="1">
      <c r="A865" s="194"/>
      <c r="B865" s="72" t="s">
        <v>86</v>
      </c>
      <c r="C865" s="252"/>
      <c r="D865" s="80"/>
      <c r="E865" s="80"/>
      <c r="F865" s="70">
        <f>G865/C4</f>
        <v>651.16906474820144</v>
      </c>
      <c r="G865" s="66">
        <f>H865</f>
        <v>3620.5</v>
      </c>
      <c r="H865" s="66">
        <f t="shared" ref="H865:H870" si="153">I865+J865</f>
        <v>3620.5</v>
      </c>
      <c r="I865" s="122"/>
      <c r="J865" s="278">
        <v>3620.5</v>
      </c>
      <c r="K865" s="261"/>
      <c r="L865" s="329">
        <f t="shared" ref="K865:L977" si="154">L851+L858</f>
        <v>0</v>
      </c>
      <c r="M865" s="291"/>
      <c r="N865" s="107"/>
      <c r="O865" s="108"/>
      <c r="P865" s="108"/>
    </row>
    <row r="866" spans="1:16" s="20" customFormat="1">
      <c r="A866" s="194"/>
      <c r="B866" s="72" t="s">
        <v>85</v>
      </c>
      <c r="C866" s="60"/>
      <c r="D866" s="68"/>
      <c r="E866" s="80"/>
      <c r="F866" s="158"/>
      <c r="G866" s="141"/>
      <c r="H866" s="66">
        <f t="shared" si="153"/>
        <v>0</v>
      </c>
      <c r="I866" s="122"/>
      <c r="J866" s="278"/>
      <c r="K866" s="261"/>
      <c r="L866" s="290"/>
      <c r="M866" s="291"/>
      <c r="N866" s="144"/>
      <c r="O866" s="145"/>
      <c r="P866" s="145"/>
    </row>
    <row r="867" spans="1:16" s="20" customFormat="1">
      <c r="A867" s="194"/>
      <c r="B867" s="72" t="s">
        <v>87</v>
      </c>
      <c r="C867" s="60"/>
      <c r="D867" s="68"/>
      <c r="E867" s="80"/>
      <c r="F867" s="158"/>
      <c r="G867" s="141"/>
      <c r="H867" s="66">
        <f t="shared" si="153"/>
        <v>0</v>
      </c>
      <c r="I867" s="122"/>
      <c r="J867" s="278"/>
      <c r="K867" s="261"/>
      <c r="L867" s="290"/>
      <c r="M867" s="291"/>
      <c r="N867" s="144"/>
      <c r="O867" s="145"/>
      <c r="P867" s="145"/>
    </row>
    <row r="868" spans="1:16" s="20" customFormat="1">
      <c r="A868" s="194"/>
      <c r="B868" s="72" t="s">
        <v>31</v>
      </c>
      <c r="C868" s="60"/>
      <c r="D868" s="68"/>
      <c r="E868" s="80"/>
      <c r="F868" s="158"/>
      <c r="G868" s="141"/>
      <c r="H868" s="66">
        <f t="shared" si="153"/>
        <v>0</v>
      </c>
      <c r="I868" s="122"/>
      <c r="J868" s="278"/>
      <c r="K868" s="261"/>
      <c r="L868" s="290"/>
      <c r="M868" s="291"/>
      <c r="N868" s="144"/>
      <c r="O868" s="145"/>
      <c r="P868" s="145"/>
    </row>
    <row r="869" spans="1:16" s="19" customFormat="1">
      <c r="A869" s="194"/>
      <c r="B869" s="72" t="s">
        <v>32</v>
      </c>
      <c r="C869" s="60"/>
      <c r="D869" s="68"/>
      <c r="E869" s="80"/>
      <c r="F869" s="158"/>
      <c r="G869" s="141"/>
      <c r="H869" s="66">
        <f t="shared" si="153"/>
        <v>0</v>
      </c>
      <c r="I869" s="122"/>
      <c r="J869" s="278"/>
      <c r="K869" s="261"/>
      <c r="L869" s="7"/>
      <c r="M869" s="283"/>
      <c r="N869" s="131"/>
      <c r="O869" s="132"/>
      <c r="P869" s="132"/>
    </row>
    <row r="870" spans="1:16" s="19" customFormat="1">
      <c r="A870" s="194"/>
      <c r="B870" s="72" t="s">
        <v>33</v>
      </c>
      <c r="C870" s="60"/>
      <c r="D870" s="68"/>
      <c r="E870" s="80"/>
      <c r="F870" s="158"/>
      <c r="G870" s="141"/>
      <c r="H870" s="66">
        <f t="shared" si="153"/>
        <v>0</v>
      </c>
      <c r="I870" s="122"/>
      <c r="J870" s="278"/>
      <c r="K870" s="261"/>
      <c r="L870" s="7"/>
      <c r="M870" s="283"/>
      <c r="N870" s="131"/>
      <c r="O870" s="132"/>
      <c r="P870" s="132"/>
    </row>
    <row r="871" spans="1:16" s="19" customFormat="1" ht="25.5">
      <c r="A871" s="194">
        <v>38</v>
      </c>
      <c r="B871" s="130" t="s">
        <v>109</v>
      </c>
      <c r="C871" s="239" t="s">
        <v>110</v>
      </c>
      <c r="D871" s="92" t="s">
        <v>99</v>
      </c>
      <c r="E871" s="190">
        <v>36757.08</v>
      </c>
      <c r="F871" s="190">
        <f>F873</f>
        <v>12202.331345737888</v>
      </c>
      <c r="G871" s="140"/>
      <c r="H871" s="113"/>
      <c r="I871" s="113"/>
      <c r="J871" s="275"/>
      <c r="K871" s="261"/>
      <c r="L871" s="7"/>
      <c r="M871" s="286"/>
      <c r="N871" s="131"/>
      <c r="O871" s="132"/>
      <c r="P871" s="132"/>
    </row>
    <row r="872" spans="1:16" s="19" customFormat="1">
      <c r="A872" s="194"/>
      <c r="B872" s="72" t="s">
        <v>86</v>
      </c>
      <c r="C872" s="241"/>
      <c r="D872" s="80"/>
      <c r="E872" s="189"/>
      <c r="F872" s="80"/>
      <c r="G872" s="140"/>
      <c r="H872" s="66">
        <f t="shared" ref="H872:H877" si="155">I872+J872</f>
        <v>0</v>
      </c>
      <c r="I872" s="122"/>
      <c r="J872" s="278"/>
      <c r="K872" s="38"/>
      <c r="L872" s="7"/>
      <c r="M872" s="283"/>
      <c r="N872" s="131"/>
      <c r="O872" s="132"/>
      <c r="P872" s="132"/>
    </row>
    <row r="873" spans="1:16" s="19" customFormat="1">
      <c r="A873" s="194"/>
      <c r="B873" s="72" t="s">
        <v>85</v>
      </c>
      <c r="C873" s="60"/>
      <c r="D873" s="68"/>
      <c r="E873" s="80"/>
      <c r="F873" s="70">
        <f>G873/D4</f>
        <v>12202.331345737888</v>
      </c>
      <c r="G873" s="66">
        <f>F874*D4+H873</f>
        <v>71237.210396417795</v>
      </c>
      <c r="H873" s="66">
        <f t="shared" si="155"/>
        <v>10000</v>
      </c>
      <c r="I873" s="95"/>
      <c r="J873" s="268">
        <v>10000</v>
      </c>
      <c r="K873" s="330"/>
      <c r="L873" s="7"/>
      <c r="M873" s="283"/>
      <c r="N873" s="131"/>
      <c r="O873" s="132"/>
      <c r="P873" s="132"/>
    </row>
    <row r="874" spans="1:16" s="19" customFormat="1">
      <c r="A874" s="194"/>
      <c r="B874" s="72" t="s">
        <v>87</v>
      </c>
      <c r="C874" s="60"/>
      <c r="D874" s="68"/>
      <c r="E874" s="80"/>
      <c r="F874" s="70">
        <f>G874/E4</f>
        <v>10489.41596375776</v>
      </c>
      <c r="G874" s="66">
        <f>F875*E4+H874</f>
        <v>65523.815124167049</v>
      </c>
      <c r="H874" s="66">
        <f t="shared" si="155"/>
        <v>18000</v>
      </c>
      <c r="I874" s="95"/>
      <c r="J874" s="268">
        <v>18000</v>
      </c>
      <c r="K874" s="330"/>
      <c r="L874" s="7"/>
      <c r="M874" s="283"/>
      <c r="N874" s="131"/>
      <c r="O874" s="132"/>
      <c r="P874" s="132"/>
    </row>
    <row r="875" spans="1:16" s="19" customFormat="1">
      <c r="A875" s="194"/>
      <c r="B875" s="72" t="s">
        <v>31</v>
      </c>
      <c r="C875" s="60"/>
      <c r="D875" s="68"/>
      <c r="E875" s="80"/>
      <c r="F875" s="70">
        <f>G875/F4</f>
        <v>7607.8760688379143</v>
      </c>
      <c r="G875" s="66">
        <f>F876*F4+H875</f>
        <v>50755.434552610415</v>
      </c>
      <c r="H875" s="66">
        <f t="shared" si="155"/>
        <v>18000</v>
      </c>
      <c r="I875" s="95"/>
      <c r="J875" s="268">
        <v>18000</v>
      </c>
      <c r="K875" s="330"/>
      <c r="L875" s="7"/>
      <c r="M875" s="283"/>
      <c r="N875" s="131"/>
      <c r="O875" s="132"/>
      <c r="P875" s="132"/>
    </row>
    <row r="876" spans="1:16" s="19" customFormat="1" ht="18.75" customHeight="1">
      <c r="A876" s="194"/>
      <c r="B876" s="72" t="s">
        <v>32</v>
      </c>
      <c r="C876" s="60"/>
      <c r="D876" s="68"/>
      <c r="E876" s="80"/>
      <c r="F876" s="70">
        <f>G876/G4</f>
        <v>4909.8050061788836</v>
      </c>
      <c r="G876" s="66">
        <f>F877*G4+H876</f>
        <v>34917.293233082702</v>
      </c>
      <c r="H876" s="66">
        <f t="shared" si="155"/>
        <v>18000</v>
      </c>
      <c r="I876" s="95"/>
      <c r="J876" s="268">
        <v>18000</v>
      </c>
      <c r="K876" s="330"/>
      <c r="L876" s="7"/>
      <c r="M876" s="283"/>
      <c r="N876" s="131"/>
      <c r="O876" s="132"/>
      <c r="P876" s="132"/>
    </row>
    <row r="877" spans="1:16" s="19" customFormat="1">
      <c r="A877" s="194"/>
      <c r="B877" s="72" t="s">
        <v>33</v>
      </c>
      <c r="C877" s="60"/>
      <c r="D877" s="68"/>
      <c r="E877" s="80"/>
      <c r="F877" s="70">
        <f>G877/H4</f>
        <v>2378.7814952417075</v>
      </c>
      <c r="G877" s="66">
        <f>H877</f>
        <v>18000</v>
      </c>
      <c r="H877" s="66">
        <f t="shared" si="155"/>
        <v>18000</v>
      </c>
      <c r="I877" s="95"/>
      <c r="J877" s="268">
        <v>18000</v>
      </c>
      <c r="K877" s="330"/>
      <c r="L877" s="7"/>
      <c r="M877" s="283"/>
      <c r="N877" s="131"/>
      <c r="O877" s="132"/>
      <c r="P877" s="132"/>
    </row>
    <row r="878" spans="1:16" s="19" customFormat="1" ht="25.5">
      <c r="A878" s="194">
        <v>39</v>
      </c>
      <c r="B878" s="130" t="s">
        <v>205</v>
      </c>
      <c r="C878" s="239" t="s">
        <v>265</v>
      </c>
      <c r="D878" s="92" t="s">
        <v>88</v>
      </c>
      <c r="E878" s="190">
        <f>F878</f>
        <v>10559.425728644968</v>
      </c>
      <c r="F878" s="190">
        <f>F881</f>
        <v>10559.425728644968</v>
      </c>
      <c r="G878" s="140"/>
      <c r="H878" s="113"/>
      <c r="I878" s="113"/>
      <c r="J878" s="275"/>
      <c r="K878" s="330"/>
      <c r="L878" s="7"/>
      <c r="M878" s="286"/>
      <c r="N878" s="131"/>
      <c r="O878" s="132"/>
      <c r="P878" s="132"/>
    </row>
    <row r="879" spans="1:16" s="19" customFormat="1">
      <c r="A879" s="194"/>
      <c r="B879" s="72" t="s">
        <v>86</v>
      </c>
      <c r="C879" s="241"/>
      <c r="D879" s="80"/>
      <c r="E879" s="189" t="s">
        <v>37</v>
      </c>
      <c r="F879" s="80"/>
      <c r="G879" s="140"/>
      <c r="H879" s="66">
        <f t="shared" ref="H879:H884" si="156">I879+J879</f>
        <v>0</v>
      </c>
      <c r="I879" s="122"/>
      <c r="J879" s="278"/>
      <c r="K879" s="330"/>
      <c r="L879" s="7"/>
      <c r="M879" s="283"/>
      <c r="N879" s="131"/>
      <c r="O879" s="132"/>
      <c r="P879" s="132"/>
    </row>
    <row r="880" spans="1:16" s="19" customFormat="1">
      <c r="A880" s="194"/>
      <c r="B880" s="72" t="s">
        <v>85</v>
      </c>
      <c r="C880" s="60"/>
      <c r="D880" s="68"/>
      <c r="E880" s="80"/>
      <c r="F880" s="158"/>
      <c r="G880" s="141"/>
      <c r="H880" s="66">
        <f t="shared" si="156"/>
        <v>0</v>
      </c>
      <c r="I880" s="95"/>
      <c r="J880" s="268"/>
      <c r="K880" s="330"/>
      <c r="L880" s="7"/>
      <c r="M880" s="283"/>
      <c r="N880" s="131"/>
      <c r="O880" s="132"/>
      <c r="P880" s="132"/>
    </row>
    <row r="881" spans="1:16" s="19" customFormat="1">
      <c r="A881" s="194"/>
      <c r="B881" s="72" t="s">
        <v>87</v>
      </c>
      <c r="C881" s="60"/>
      <c r="D881" s="68"/>
      <c r="E881" s="80"/>
      <c r="F881" s="70">
        <f>G881/E4</f>
        <v>10559.425728644968</v>
      </c>
      <c r="G881" s="66">
        <f>F882*E4+H881</f>
        <v>65961.142322097381</v>
      </c>
      <c r="H881" s="66">
        <f t="shared" si="156"/>
        <v>5000</v>
      </c>
      <c r="I881" s="95"/>
      <c r="J881" s="268">
        <v>5000</v>
      </c>
      <c r="K881" s="330"/>
      <c r="L881" s="7"/>
      <c r="M881" s="283"/>
      <c r="N881" s="131"/>
      <c r="O881" s="132"/>
      <c r="P881" s="132"/>
    </row>
    <row r="882" spans="1:16" s="19" customFormat="1">
      <c r="A882" s="194"/>
      <c r="B882" s="72" t="s">
        <v>31</v>
      </c>
      <c r="C882" s="60"/>
      <c r="D882" s="68"/>
      <c r="E882" s="80"/>
      <c r="F882" s="70">
        <f>G882/F4</f>
        <v>9758.9979800561214</v>
      </c>
      <c r="G882" s="66">
        <f>H882</f>
        <v>65106.5</v>
      </c>
      <c r="H882" s="66">
        <f t="shared" si="156"/>
        <v>65106.5</v>
      </c>
      <c r="I882" s="95"/>
      <c r="J882" s="268">
        <v>65106.5</v>
      </c>
      <c r="K882" s="330"/>
      <c r="L882" s="7"/>
      <c r="M882" s="283"/>
      <c r="N882" s="131"/>
      <c r="O882" s="132"/>
      <c r="P882" s="132"/>
    </row>
    <row r="883" spans="1:16" s="19" customFormat="1" ht="18" customHeight="1">
      <c r="A883" s="194"/>
      <c r="B883" s="72" t="s">
        <v>32</v>
      </c>
      <c r="C883" s="60"/>
      <c r="D883" s="68"/>
      <c r="E883" s="80"/>
      <c r="F883" s="158"/>
      <c r="G883" s="141"/>
      <c r="H883" s="66">
        <f t="shared" si="156"/>
        <v>0</v>
      </c>
      <c r="I883" s="95"/>
      <c r="J883" s="268"/>
      <c r="K883" s="330"/>
      <c r="L883" s="7"/>
      <c r="M883" s="283"/>
      <c r="N883" s="131"/>
      <c r="O883" s="132"/>
      <c r="P883" s="132"/>
    </row>
    <row r="884" spans="1:16" s="19" customFormat="1">
      <c r="A884" s="194"/>
      <c r="B884" s="72" t="s">
        <v>33</v>
      </c>
      <c r="C884" s="60"/>
      <c r="D884" s="68"/>
      <c r="E884" s="80"/>
      <c r="F884" s="158"/>
      <c r="G884" s="141"/>
      <c r="H884" s="66">
        <f t="shared" si="156"/>
        <v>0</v>
      </c>
      <c r="I884" s="95"/>
      <c r="J884" s="268"/>
      <c r="K884" s="330"/>
      <c r="L884" s="7"/>
      <c r="M884" s="283"/>
      <c r="N884" s="131"/>
      <c r="O884" s="132"/>
      <c r="P884" s="132"/>
    </row>
    <row r="885" spans="1:16" s="19" customFormat="1" ht="29.25" customHeight="1">
      <c r="A885" s="194">
        <v>40</v>
      </c>
      <c r="B885" s="130" t="s">
        <v>283</v>
      </c>
      <c r="C885" s="239" t="s">
        <v>284</v>
      </c>
      <c r="D885" s="92" t="s">
        <v>57</v>
      </c>
      <c r="E885" s="190">
        <f>F885</f>
        <v>1687.349007291451</v>
      </c>
      <c r="F885" s="190">
        <f>F890</f>
        <v>1687.349007291451</v>
      </c>
      <c r="G885" s="140"/>
      <c r="H885" s="113"/>
      <c r="I885" s="113"/>
      <c r="J885" s="275"/>
      <c r="K885" s="330"/>
      <c r="L885" s="7"/>
      <c r="M885" s="286"/>
      <c r="N885" s="131"/>
      <c r="O885" s="132"/>
      <c r="P885" s="132"/>
    </row>
    <row r="886" spans="1:16" s="19" customFormat="1">
      <c r="A886" s="194"/>
      <c r="B886" s="72" t="s">
        <v>86</v>
      </c>
      <c r="C886" s="241"/>
      <c r="D886" s="80"/>
      <c r="E886" s="189" t="s">
        <v>285</v>
      </c>
      <c r="F886" s="80"/>
      <c r="G886" s="140"/>
      <c r="H886" s="66">
        <f t="shared" ref="H886:H891" si="157">I886+J886</f>
        <v>0</v>
      </c>
      <c r="I886" s="122"/>
      <c r="J886" s="278"/>
      <c r="K886" s="330"/>
      <c r="L886" s="7"/>
      <c r="M886" s="283"/>
      <c r="N886" s="131"/>
      <c r="O886" s="132"/>
      <c r="P886" s="132"/>
    </row>
    <row r="887" spans="1:16" s="19" customFormat="1">
      <c r="A887" s="194"/>
      <c r="B887" s="72" t="s">
        <v>85</v>
      </c>
      <c r="C887" s="60"/>
      <c r="D887" s="68"/>
      <c r="E887" s="80"/>
      <c r="F887" s="158"/>
      <c r="G887" s="141"/>
      <c r="H887" s="66">
        <f t="shared" si="157"/>
        <v>0</v>
      </c>
      <c r="I887" s="95"/>
      <c r="J887" s="268"/>
      <c r="K887" s="330"/>
      <c r="L887" s="7"/>
      <c r="M887" s="283"/>
      <c r="N887" s="131"/>
      <c r="O887" s="132"/>
      <c r="P887" s="132"/>
    </row>
    <row r="888" spans="1:16" s="19" customFormat="1">
      <c r="A888" s="194"/>
      <c r="B888" s="72" t="s">
        <v>87</v>
      </c>
      <c r="C888" s="60"/>
      <c r="D888" s="68"/>
      <c r="E888" s="80"/>
      <c r="F888" s="158"/>
      <c r="G888" s="141"/>
      <c r="H888" s="66">
        <f t="shared" si="157"/>
        <v>0</v>
      </c>
      <c r="I888" s="95"/>
      <c r="J888" s="268"/>
      <c r="K888" s="330"/>
      <c r="L888" s="7"/>
      <c r="M888" s="283"/>
      <c r="N888" s="131"/>
      <c r="O888" s="132"/>
      <c r="P888" s="132"/>
    </row>
    <row r="889" spans="1:16" s="19" customFormat="1" ht="16.5" customHeight="1">
      <c r="A889" s="194"/>
      <c r="B889" s="72" t="s">
        <v>31</v>
      </c>
      <c r="C889" s="60"/>
      <c r="D889" s="68"/>
      <c r="E889" s="80"/>
      <c r="F889" s="158"/>
      <c r="G889" s="141"/>
      <c r="H889" s="66">
        <f t="shared" si="157"/>
        <v>0</v>
      </c>
      <c r="I889" s="95"/>
      <c r="J889" s="268"/>
      <c r="K889" s="330"/>
      <c r="L889" s="7"/>
      <c r="M889" s="283"/>
      <c r="N889" s="131"/>
      <c r="O889" s="132"/>
      <c r="P889" s="132"/>
    </row>
    <row r="890" spans="1:16" s="19" customFormat="1" ht="15" customHeight="1">
      <c r="A890" s="194"/>
      <c r="B890" s="72" t="s">
        <v>32</v>
      </c>
      <c r="C890" s="60"/>
      <c r="D890" s="68"/>
      <c r="E890" s="80"/>
      <c r="F890" s="70">
        <f>G890/G4</f>
        <v>1687.349007291451</v>
      </c>
      <c r="G890" s="66">
        <f>F891*G4+H890</f>
        <v>12000</v>
      </c>
      <c r="H890" s="66">
        <f t="shared" si="157"/>
        <v>12000</v>
      </c>
      <c r="I890" s="95"/>
      <c r="J890" s="268">
        <v>12000</v>
      </c>
      <c r="K890" s="330"/>
      <c r="L890" s="7"/>
      <c r="M890" s="283"/>
      <c r="N890" s="131"/>
      <c r="O890" s="132"/>
      <c r="P890" s="132"/>
    </row>
    <row r="891" spans="1:16" s="19" customFormat="1">
      <c r="A891" s="194"/>
      <c r="B891" s="72" t="s">
        <v>33</v>
      </c>
      <c r="C891" s="60"/>
      <c r="D891" s="68"/>
      <c r="E891" s="80"/>
      <c r="F891" s="70">
        <f>G891/H4</f>
        <v>0</v>
      </c>
      <c r="G891" s="66">
        <f>H891</f>
        <v>0</v>
      </c>
      <c r="H891" s="66">
        <f t="shared" si="157"/>
        <v>0</v>
      </c>
      <c r="I891" s="95"/>
      <c r="J891" s="268"/>
      <c r="K891" s="330"/>
      <c r="L891" s="7"/>
      <c r="M891" s="258">
        <v>56000</v>
      </c>
      <c r="N891" s="131"/>
      <c r="O891" s="132"/>
      <c r="P891" s="132"/>
    </row>
    <row r="892" spans="1:16" s="19" customFormat="1" ht="40.5" customHeight="1">
      <c r="A892" s="194">
        <v>41</v>
      </c>
      <c r="B892" s="130" t="s">
        <v>206</v>
      </c>
      <c r="C892" s="239" t="s">
        <v>266</v>
      </c>
      <c r="D892" s="92" t="s">
        <v>88</v>
      </c>
      <c r="E892" s="190">
        <f>F892</f>
        <v>10037.684138403562</v>
      </c>
      <c r="F892" s="190">
        <f>F895</f>
        <v>10037.684138403562</v>
      </c>
      <c r="G892" s="140"/>
      <c r="H892" s="113"/>
      <c r="I892" s="113"/>
      <c r="J892" s="275"/>
      <c r="K892" s="330"/>
      <c r="L892" s="7"/>
      <c r="M892" s="286"/>
      <c r="N892" s="131"/>
      <c r="O892" s="132"/>
      <c r="P892" s="132"/>
    </row>
    <row r="893" spans="1:16" s="19" customFormat="1">
      <c r="A893" s="194"/>
      <c r="B893" s="72" t="s">
        <v>86</v>
      </c>
      <c r="C893" s="241"/>
      <c r="D893" s="80"/>
      <c r="E893" s="189" t="s">
        <v>286</v>
      </c>
      <c r="F893" s="80"/>
      <c r="G893" s="140"/>
      <c r="H893" s="66">
        <f t="shared" ref="H893:H898" si="158">I893+J893</f>
        <v>0</v>
      </c>
      <c r="I893" s="122"/>
      <c r="J893" s="278"/>
      <c r="K893" s="330"/>
      <c r="L893" s="7"/>
      <c r="M893" s="283"/>
      <c r="N893" s="131"/>
      <c r="O893" s="132"/>
      <c r="P893" s="132"/>
    </row>
    <row r="894" spans="1:16" s="19" customFormat="1">
      <c r="A894" s="194"/>
      <c r="B894" s="72" t="s">
        <v>85</v>
      </c>
      <c r="C894" s="60"/>
      <c r="D894" s="68"/>
      <c r="E894" s="80"/>
      <c r="F894" s="158"/>
      <c r="G894" s="141"/>
      <c r="H894" s="66">
        <f t="shared" si="158"/>
        <v>0</v>
      </c>
      <c r="I894" s="95"/>
      <c r="J894" s="268"/>
      <c r="K894" s="330"/>
      <c r="L894" s="7"/>
      <c r="M894" s="283"/>
      <c r="N894" s="131"/>
      <c r="O894" s="132"/>
      <c r="P894" s="132"/>
    </row>
    <row r="895" spans="1:16" s="40" customFormat="1" ht="21.75" customHeight="1">
      <c r="A895" s="194"/>
      <c r="B895" s="72" t="s">
        <v>87</v>
      </c>
      <c r="C895" s="60"/>
      <c r="D895" s="68"/>
      <c r="E895" s="80"/>
      <c r="F895" s="70">
        <f>G895/E4</f>
        <v>10037.684138403562</v>
      </c>
      <c r="G895" s="66">
        <f>F896*F4+H895</f>
        <v>62702</v>
      </c>
      <c r="H895" s="66">
        <f t="shared" si="158"/>
        <v>5000</v>
      </c>
      <c r="I895" s="95"/>
      <c r="J895" s="268">
        <v>5000</v>
      </c>
      <c r="K895" s="330"/>
      <c r="L895" s="270"/>
      <c r="M895" s="283"/>
      <c r="N895" s="32"/>
      <c r="O895" s="32"/>
      <c r="P895" s="32"/>
    </row>
    <row r="896" spans="1:16" s="40" customFormat="1">
      <c r="A896" s="194"/>
      <c r="B896" s="72" t="s">
        <v>31</v>
      </c>
      <c r="C896" s="60"/>
      <c r="D896" s="68"/>
      <c r="E896" s="80"/>
      <c r="F896" s="70">
        <f>G896/F4</f>
        <v>8649.1164698639659</v>
      </c>
      <c r="G896" s="66">
        <f>H896</f>
        <v>57702</v>
      </c>
      <c r="H896" s="66">
        <f t="shared" si="158"/>
        <v>57702</v>
      </c>
      <c r="I896" s="95"/>
      <c r="J896" s="268">
        <v>57702</v>
      </c>
      <c r="K896" s="330"/>
      <c r="L896" s="329">
        <f t="shared" ref="K896:L1008" si="159">L882+L889</f>
        <v>0</v>
      </c>
      <c r="M896" s="283"/>
      <c r="N896" s="33"/>
      <c r="O896" s="32"/>
      <c r="P896" s="32"/>
    </row>
    <row r="897" spans="1:16" s="40" customFormat="1">
      <c r="A897" s="194"/>
      <c r="B897" s="72" t="s">
        <v>32</v>
      </c>
      <c r="C897" s="60"/>
      <c r="D897" s="68"/>
      <c r="E897" s="80"/>
      <c r="F897" s="158"/>
      <c r="G897" s="141"/>
      <c r="H897" s="66">
        <f t="shared" si="158"/>
        <v>0</v>
      </c>
      <c r="I897" s="95"/>
      <c r="J897" s="268"/>
      <c r="K897" s="330"/>
      <c r="L897" s="329">
        <f t="shared" ref="K897:L1013" si="160">L883+L890</f>
        <v>0</v>
      </c>
      <c r="M897" s="283"/>
      <c r="N897" s="32"/>
      <c r="O897" s="32"/>
      <c r="P897" s="32"/>
    </row>
    <row r="898" spans="1:16" s="40" customFormat="1">
      <c r="A898" s="194"/>
      <c r="B898" s="72" t="s">
        <v>33</v>
      </c>
      <c r="C898" s="60"/>
      <c r="D898" s="68"/>
      <c r="E898" s="80"/>
      <c r="F898" s="158"/>
      <c r="G898" s="141"/>
      <c r="H898" s="66">
        <f t="shared" si="158"/>
        <v>0</v>
      </c>
      <c r="I898" s="95"/>
      <c r="J898" s="268"/>
      <c r="K898" s="330"/>
      <c r="L898" s="329">
        <f t="shared" si="160"/>
        <v>0</v>
      </c>
      <c r="M898" s="283"/>
      <c r="N898" s="32"/>
      <c r="O898" s="32"/>
      <c r="P898" s="32"/>
    </row>
    <row r="899" spans="1:16" s="41" customFormat="1" ht="25.5">
      <c r="A899" s="194">
        <v>42</v>
      </c>
      <c r="B899" s="130" t="s">
        <v>207</v>
      </c>
      <c r="C899" s="239" t="s">
        <v>21</v>
      </c>
      <c r="D899" s="92" t="s">
        <v>129</v>
      </c>
      <c r="E899" s="55">
        <f>F899</f>
        <v>1678.4010405017582</v>
      </c>
      <c r="F899" s="55">
        <f>F901</f>
        <v>1678.4010405017582</v>
      </c>
      <c r="G899" s="140"/>
      <c r="H899" s="113"/>
      <c r="I899" s="113"/>
      <c r="J899" s="275"/>
      <c r="K899" s="330"/>
      <c r="L899" s="329">
        <f t="shared" si="160"/>
        <v>0</v>
      </c>
      <c r="M899" s="286"/>
      <c r="N899" s="107"/>
      <c r="O899" s="108"/>
      <c r="P899" s="108"/>
    </row>
    <row r="900" spans="1:16" s="41" customFormat="1">
      <c r="A900" s="194"/>
      <c r="B900" s="72" t="s">
        <v>86</v>
      </c>
      <c r="C900" s="241"/>
      <c r="D900" s="80"/>
      <c r="E900" s="189" t="s">
        <v>286</v>
      </c>
      <c r="F900" s="80"/>
      <c r="G900" s="140"/>
      <c r="H900" s="66">
        <f t="shared" ref="H900:H905" si="161">I900+J900</f>
        <v>0</v>
      </c>
      <c r="I900" s="122"/>
      <c r="J900" s="278"/>
      <c r="K900" s="330"/>
      <c r="L900" s="329">
        <f t="shared" si="160"/>
        <v>0</v>
      </c>
      <c r="M900" s="283"/>
      <c r="N900" s="107"/>
      <c r="O900" s="108"/>
      <c r="P900" s="108"/>
    </row>
    <row r="901" spans="1:16" s="41" customFormat="1">
      <c r="A901" s="194"/>
      <c r="B901" s="72" t="s">
        <v>85</v>
      </c>
      <c r="C901" s="60"/>
      <c r="D901" s="68"/>
      <c r="E901" s="80"/>
      <c r="F901" s="70">
        <f>G901/D4</f>
        <v>1678.4010405017582</v>
      </c>
      <c r="G901" s="66">
        <f>F904*D4+H901</f>
        <v>9798.5052744492641</v>
      </c>
      <c r="H901" s="66">
        <f t="shared" si="161"/>
        <v>2000</v>
      </c>
      <c r="I901" s="95"/>
      <c r="J901" s="268">
        <v>2000</v>
      </c>
      <c r="K901" s="330"/>
      <c r="L901" s="329">
        <f t="shared" si="160"/>
        <v>0</v>
      </c>
      <c r="M901" s="283"/>
      <c r="N901" s="107"/>
      <c r="O901" s="108"/>
      <c r="P901" s="108"/>
    </row>
    <row r="902" spans="1:16" s="19" customFormat="1">
      <c r="A902" s="194"/>
      <c r="B902" s="72" t="s">
        <v>87</v>
      </c>
      <c r="C902" s="60"/>
      <c r="D902" s="68"/>
      <c r="E902" s="80"/>
      <c r="F902" s="158"/>
      <c r="G902" s="141"/>
      <c r="H902" s="66">
        <f t="shared" si="161"/>
        <v>0</v>
      </c>
      <c r="I902" s="95"/>
      <c r="J902" s="268"/>
      <c r="K902" s="330">
        <v>40000</v>
      </c>
      <c r="L902" s="7"/>
      <c r="M902" s="283"/>
      <c r="N902" s="131"/>
      <c r="O902" s="132"/>
      <c r="P902" s="132"/>
    </row>
    <row r="903" spans="1:16" s="19" customFormat="1">
      <c r="A903" s="194"/>
      <c r="B903" s="72" t="s">
        <v>31</v>
      </c>
      <c r="C903" s="60"/>
      <c r="D903" s="68"/>
      <c r="E903" s="80"/>
      <c r="F903" s="158"/>
      <c r="G903" s="141"/>
      <c r="H903" s="66">
        <f t="shared" si="161"/>
        <v>0</v>
      </c>
      <c r="I903" s="95"/>
      <c r="J903" s="268"/>
      <c r="K903" s="330">
        <v>47302</v>
      </c>
      <c r="L903" s="7"/>
      <c r="M903" s="283"/>
      <c r="N903" s="131"/>
      <c r="O903" s="132"/>
      <c r="P903" s="132"/>
    </row>
    <row r="904" spans="1:16" s="19" customFormat="1" ht="18.75" customHeight="1">
      <c r="A904" s="194"/>
      <c r="B904" s="72" t="s">
        <v>32</v>
      </c>
      <c r="C904" s="60"/>
      <c r="D904" s="68"/>
      <c r="E904" s="80"/>
      <c r="F904" s="70">
        <f>G904/G4</f>
        <v>1335.817964105732</v>
      </c>
      <c r="G904" s="66">
        <f>H904</f>
        <v>9500</v>
      </c>
      <c r="H904" s="66">
        <f t="shared" si="161"/>
        <v>9500</v>
      </c>
      <c r="I904" s="95"/>
      <c r="J904" s="268">
        <v>9500</v>
      </c>
      <c r="K904" s="330"/>
      <c r="L904" s="7"/>
      <c r="M904" s="283"/>
      <c r="N904" s="131"/>
      <c r="O904" s="132"/>
      <c r="P904" s="132"/>
    </row>
    <row r="905" spans="1:16" s="19" customFormat="1">
      <c r="A905" s="194"/>
      <c r="B905" s="72" t="s">
        <v>33</v>
      </c>
      <c r="C905" s="60"/>
      <c r="D905" s="68"/>
      <c r="E905" s="80"/>
      <c r="F905" s="158"/>
      <c r="G905" s="141"/>
      <c r="H905" s="66">
        <f t="shared" si="161"/>
        <v>0</v>
      </c>
      <c r="I905" s="95"/>
      <c r="J905" s="268"/>
      <c r="K905" s="330"/>
      <c r="L905" s="7"/>
      <c r="M905" s="283"/>
      <c r="N905" s="131"/>
      <c r="O905" s="132"/>
      <c r="P905" s="132"/>
    </row>
    <row r="906" spans="1:16" s="19" customFormat="1" ht="25.5">
      <c r="A906" s="194">
        <v>43</v>
      </c>
      <c r="B906" s="130" t="s">
        <v>208</v>
      </c>
      <c r="C906" s="239" t="s">
        <v>21</v>
      </c>
      <c r="D906" s="92" t="s">
        <v>88</v>
      </c>
      <c r="E906" s="55">
        <f>F906</f>
        <v>2046.3370081900603</v>
      </c>
      <c r="F906" s="55">
        <f>F909</f>
        <v>2046.3370081900603</v>
      </c>
      <c r="G906" s="140"/>
      <c r="H906" s="113"/>
      <c r="I906" s="113"/>
      <c r="J906" s="275"/>
      <c r="K906" s="330"/>
      <c r="L906" s="7"/>
      <c r="M906" s="286"/>
      <c r="N906" s="131"/>
      <c r="O906" s="132"/>
      <c r="P906" s="132"/>
    </row>
    <row r="907" spans="1:16" s="19" customFormat="1">
      <c r="A907" s="194"/>
      <c r="B907" s="72" t="s">
        <v>86</v>
      </c>
      <c r="C907" s="241"/>
      <c r="D907" s="80"/>
      <c r="E907" s="189" t="s">
        <v>286</v>
      </c>
      <c r="F907" s="80"/>
      <c r="G907" s="140"/>
      <c r="H907" s="66">
        <f t="shared" ref="H907:H912" si="162">I907+J907</f>
        <v>0</v>
      </c>
      <c r="I907" s="122"/>
      <c r="J907" s="278"/>
      <c r="K907" s="330"/>
      <c r="L907" s="7"/>
      <c r="M907" s="283"/>
      <c r="N907" s="131"/>
      <c r="O907" s="132"/>
      <c r="P907" s="132"/>
    </row>
    <row r="908" spans="1:16" s="19" customFormat="1">
      <c r="A908" s="194"/>
      <c r="B908" s="72" t="s">
        <v>85</v>
      </c>
      <c r="C908" s="60"/>
      <c r="D908" s="68"/>
      <c r="E908" s="80"/>
      <c r="F908" s="158"/>
      <c r="G908" s="141"/>
      <c r="H908" s="66">
        <f t="shared" si="162"/>
        <v>0</v>
      </c>
      <c r="I908" s="95"/>
      <c r="J908" s="268"/>
      <c r="K908" s="38"/>
      <c r="L908" s="7"/>
      <c r="M908" s="283"/>
      <c r="N908" s="131"/>
      <c r="O908" s="132"/>
      <c r="P908" s="132"/>
    </row>
    <row r="909" spans="1:16" s="19" customFormat="1">
      <c r="A909" s="194"/>
      <c r="B909" s="72" t="s">
        <v>87</v>
      </c>
      <c r="C909" s="60"/>
      <c r="D909" s="68"/>
      <c r="E909" s="80"/>
      <c r="F909" s="70">
        <f>G909/E4</f>
        <v>2046.3370081900603</v>
      </c>
      <c r="G909" s="66">
        <f>F910*E4+H909</f>
        <v>12782.771535580523</v>
      </c>
      <c r="H909" s="66">
        <f t="shared" si="162"/>
        <v>1000</v>
      </c>
      <c r="I909" s="95"/>
      <c r="J909" s="268">
        <v>1000</v>
      </c>
      <c r="K909" s="38"/>
      <c r="L909" s="7"/>
      <c r="M909" s="283"/>
      <c r="N909" s="131"/>
      <c r="O909" s="132"/>
      <c r="P909" s="132"/>
    </row>
    <row r="910" spans="1:16" s="19" customFormat="1">
      <c r="A910" s="194"/>
      <c r="B910" s="72" t="s">
        <v>31</v>
      </c>
      <c r="C910" s="60"/>
      <c r="D910" s="68"/>
      <c r="E910" s="80"/>
      <c r="F910" s="70">
        <f>G910/F4</f>
        <v>1886.2514584722912</v>
      </c>
      <c r="G910" s="66">
        <f>H910</f>
        <v>12584</v>
      </c>
      <c r="H910" s="66">
        <f t="shared" si="162"/>
        <v>12584</v>
      </c>
      <c r="I910" s="95"/>
      <c r="J910" s="268">
        <v>12584</v>
      </c>
      <c r="K910" s="38"/>
      <c r="L910" s="7"/>
      <c r="M910" s="283"/>
      <c r="N910" s="131"/>
      <c r="O910" s="132"/>
      <c r="P910" s="132"/>
    </row>
    <row r="911" spans="1:16" s="19" customFormat="1" ht="18.75" customHeight="1">
      <c r="A911" s="194"/>
      <c r="B911" s="72" t="s">
        <v>32</v>
      </c>
      <c r="C911" s="60"/>
      <c r="D911" s="68"/>
      <c r="E911" s="80"/>
      <c r="F911" s="158"/>
      <c r="G911" s="141"/>
      <c r="H911" s="66">
        <f t="shared" si="162"/>
        <v>0</v>
      </c>
      <c r="I911" s="95"/>
      <c r="J911" s="268"/>
      <c r="K911" s="38"/>
      <c r="L911" s="7"/>
      <c r="M911" s="283"/>
      <c r="N911" s="131"/>
      <c r="O911" s="132"/>
      <c r="P911" s="132"/>
    </row>
    <row r="912" spans="1:16" s="19" customFormat="1">
      <c r="A912" s="194"/>
      <c r="B912" s="72" t="s">
        <v>33</v>
      </c>
      <c r="C912" s="60"/>
      <c r="D912" s="68"/>
      <c r="E912" s="80"/>
      <c r="F912" s="158"/>
      <c r="G912" s="141"/>
      <c r="H912" s="66">
        <f t="shared" si="162"/>
        <v>0</v>
      </c>
      <c r="I912" s="95"/>
      <c r="J912" s="268"/>
      <c r="K912" s="38"/>
      <c r="L912" s="7"/>
      <c r="M912" s="283"/>
      <c r="N912" s="131"/>
      <c r="O912" s="132"/>
      <c r="P912" s="132"/>
    </row>
    <row r="913" spans="1:19" s="19" customFormat="1" ht="38.25">
      <c r="A913" s="194">
        <v>44</v>
      </c>
      <c r="B913" s="130" t="s">
        <v>311</v>
      </c>
      <c r="C913" s="239" t="s">
        <v>111</v>
      </c>
      <c r="D913" s="92" t="s">
        <v>57</v>
      </c>
      <c r="E913" s="190">
        <v>24554.6</v>
      </c>
      <c r="F913" s="190">
        <v>24554.6</v>
      </c>
      <c r="G913" s="140"/>
      <c r="H913" s="113"/>
      <c r="I913" s="113"/>
      <c r="J913" s="275"/>
      <c r="K913" s="290"/>
      <c r="L913" s="7"/>
      <c r="M913" s="286"/>
      <c r="N913" s="131"/>
      <c r="O913" s="132"/>
      <c r="P913" s="132"/>
    </row>
    <row r="914" spans="1:19" s="19" customFormat="1">
      <c r="A914" s="194"/>
      <c r="B914" s="72" t="s">
        <v>86</v>
      </c>
      <c r="C914" s="241"/>
      <c r="D914" s="80"/>
      <c r="E914" s="189"/>
      <c r="F914" s="80"/>
      <c r="G914" s="140"/>
      <c r="H914" s="66">
        <f t="shared" ref="H914:H917" si="163">I914+J914</f>
        <v>0</v>
      </c>
      <c r="I914" s="122"/>
      <c r="J914" s="278"/>
      <c r="K914" s="290"/>
      <c r="L914" s="7"/>
      <c r="M914" s="283"/>
      <c r="N914" s="131"/>
      <c r="O914" s="132"/>
      <c r="P914" s="132"/>
    </row>
    <row r="915" spans="1:19" s="19" customFormat="1">
      <c r="A915" s="194"/>
      <c r="B915" s="72" t="s">
        <v>85</v>
      </c>
      <c r="C915" s="60"/>
      <c r="D915" s="68"/>
      <c r="E915" s="80"/>
      <c r="F915" s="158"/>
      <c r="G915" s="141"/>
      <c r="H915" s="66">
        <f t="shared" si="163"/>
        <v>0</v>
      </c>
      <c r="I915" s="122"/>
      <c r="J915" s="278"/>
      <c r="K915" s="290"/>
      <c r="L915" s="7"/>
      <c r="M915" s="283"/>
      <c r="N915" s="131"/>
      <c r="O915" s="132"/>
      <c r="P915" s="132"/>
    </row>
    <row r="916" spans="1:19" s="19" customFormat="1">
      <c r="A916" s="194"/>
      <c r="B916" s="72" t="s">
        <v>87</v>
      </c>
      <c r="C916" s="60"/>
      <c r="D916" s="68"/>
      <c r="E916" s="80"/>
      <c r="F916" s="158"/>
      <c r="G916" s="141"/>
      <c r="H916" s="66">
        <f t="shared" si="163"/>
        <v>0</v>
      </c>
      <c r="I916" s="122"/>
      <c r="J916" s="278"/>
      <c r="K916" s="290"/>
      <c r="L916" s="7"/>
      <c r="M916" s="283"/>
      <c r="N916" s="131"/>
      <c r="O916" s="132"/>
      <c r="P916" s="132"/>
    </row>
    <row r="917" spans="1:19" s="19" customFormat="1">
      <c r="A917" s="194"/>
      <c r="B917" s="72" t="s">
        <v>31</v>
      </c>
      <c r="C917" s="60"/>
      <c r="D917" s="68"/>
      <c r="E917" s="80"/>
      <c r="F917" s="158"/>
      <c r="G917" s="141"/>
      <c r="H917" s="66">
        <f t="shared" si="163"/>
        <v>0</v>
      </c>
      <c r="I917" s="122"/>
      <c r="J917" s="278"/>
      <c r="K917" s="290" t="s">
        <v>137</v>
      </c>
      <c r="L917" s="7"/>
      <c r="M917" s="283"/>
      <c r="N917" s="131"/>
      <c r="O917" s="132"/>
      <c r="P917" s="132"/>
    </row>
    <row r="918" spans="1:19" s="19" customFormat="1" ht="15" customHeight="1">
      <c r="A918" s="194"/>
      <c r="B918" s="72" t="s">
        <v>32</v>
      </c>
      <c r="C918" s="60"/>
      <c r="D918" s="68"/>
      <c r="E918" s="80"/>
      <c r="F918" s="190">
        <v>24554.6</v>
      </c>
      <c r="G918" s="66">
        <v>174625.8</v>
      </c>
      <c r="H918" s="95">
        <v>89452.800000000003</v>
      </c>
      <c r="I918" s="95"/>
      <c r="J918" s="268">
        <v>89452.800000000003</v>
      </c>
      <c r="K918" s="290"/>
      <c r="L918" s="7"/>
      <c r="M918" s="283"/>
      <c r="N918" s="131"/>
      <c r="O918" s="132"/>
      <c r="P918" s="132"/>
    </row>
    <row r="919" spans="1:19" s="19" customFormat="1">
      <c r="A919" s="194"/>
      <c r="B919" s="72" t="s">
        <v>33</v>
      </c>
      <c r="C919" s="60"/>
      <c r="D919" s="68"/>
      <c r="E919" s="80"/>
      <c r="F919" s="70">
        <v>11976.4</v>
      </c>
      <c r="G919" s="66">
        <v>90624</v>
      </c>
      <c r="H919" s="95">
        <v>90624</v>
      </c>
      <c r="I919" s="95"/>
      <c r="J919" s="268">
        <v>90624</v>
      </c>
      <c r="K919" s="290"/>
      <c r="L919" s="7"/>
      <c r="M919" s="283"/>
      <c r="N919" s="131"/>
      <c r="O919" s="132"/>
      <c r="P919" s="132"/>
    </row>
    <row r="920" spans="1:19" s="19" customFormat="1" ht="38.25">
      <c r="A920" s="194">
        <v>45</v>
      </c>
      <c r="B920" s="130" t="s">
        <v>322</v>
      </c>
      <c r="C920" s="239" t="s">
        <v>323</v>
      </c>
      <c r="D920" s="92" t="s">
        <v>55</v>
      </c>
      <c r="E920" s="190">
        <v>65808.2</v>
      </c>
      <c r="F920" s="190">
        <v>65808.2</v>
      </c>
      <c r="G920" s="140"/>
      <c r="H920" s="113"/>
      <c r="I920" s="113"/>
      <c r="J920" s="275"/>
      <c r="K920" s="290"/>
      <c r="L920" s="7"/>
      <c r="M920" s="286"/>
      <c r="N920" s="131"/>
      <c r="O920" s="132"/>
      <c r="P920" s="132"/>
    </row>
    <row r="921" spans="1:19" s="19" customFormat="1">
      <c r="A921" s="194"/>
      <c r="B921" s="72" t="s">
        <v>86</v>
      </c>
      <c r="C921" s="241"/>
      <c r="D921" s="80"/>
      <c r="E921" s="189"/>
      <c r="F921" s="80"/>
      <c r="G921" s="140"/>
      <c r="H921" s="66"/>
      <c r="I921" s="122"/>
      <c r="J921" s="278"/>
      <c r="K921" s="290"/>
      <c r="L921" s="7"/>
      <c r="M921" s="283"/>
      <c r="N921" s="131"/>
      <c r="O921" s="132"/>
      <c r="P921" s="132"/>
    </row>
    <row r="922" spans="1:19" s="19" customFormat="1">
      <c r="A922" s="194"/>
      <c r="B922" s="72" t="s">
        <v>85</v>
      </c>
      <c r="C922" s="60"/>
      <c r="D922" s="68"/>
      <c r="E922" s="80"/>
      <c r="F922" s="158"/>
      <c r="G922" s="141"/>
      <c r="H922" s="66"/>
      <c r="I922" s="122"/>
      <c r="J922" s="278"/>
      <c r="K922" s="290"/>
      <c r="L922" s="7"/>
      <c r="M922" s="283"/>
      <c r="N922" s="131"/>
      <c r="O922" s="132"/>
      <c r="P922" s="132"/>
    </row>
    <row r="923" spans="1:19" s="19" customFormat="1">
      <c r="A923" s="194"/>
      <c r="B923" s="72" t="s">
        <v>87</v>
      </c>
      <c r="C923" s="60"/>
      <c r="D923" s="68"/>
      <c r="E923" s="80"/>
      <c r="F923" s="158"/>
      <c r="G923" s="141"/>
      <c r="H923" s="66"/>
      <c r="I923" s="122"/>
      <c r="J923" s="278"/>
      <c r="K923" s="290"/>
      <c r="L923" s="7"/>
      <c r="M923" s="283"/>
      <c r="N923" s="131"/>
      <c r="O923" s="132"/>
      <c r="P923" s="132"/>
    </row>
    <row r="924" spans="1:19" s="40" customFormat="1" ht="21.75" customHeight="1">
      <c r="A924" s="194"/>
      <c r="B924" s="72" t="s">
        <v>31</v>
      </c>
      <c r="C924" s="60"/>
      <c r="D924" s="68"/>
      <c r="E924" s="80"/>
      <c r="F924" s="158"/>
      <c r="G924" s="141"/>
      <c r="H924" s="66"/>
      <c r="I924" s="122"/>
      <c r="J924" s="278"/>
      <c r="K924" s="290" t="s">
        <v>137</v>
      </c>
      <c r="L924" s="270"/>
      <c r="M924" s="283"/>
      <c r="N924" s="32"/>
      <c r="O924" s="32"/>
      <c r="P924" s="32"/>
    </row>
    <row r="925" spans="1:19" s="40" customFormat="1">
      <c r="A925" s="194"/>
      <c r="B925" s="72" t="s">
        <v>32</v>
      </c>
      <c r="C925" s="60"/>
      <c r="D925" s="68"/>
      <c r="E925" s="80"/>
      <c r="F925" s="70"/>
      <c r="G925" s="66"/>
      <c r="H925" s="66"/>
      <c r="I925" s="95"/>
      <c r="J925" s="268"/>
      <c r="K925" s="290"/>
      <c r="L925" s="329">
        <f t="shared" ref="L925" si="164">L904+L911</f>
        <v>0</v>
      </c>
      <c r="M925" s="283"/>
      <c r="N925" s="33"/>
      <c r="O925" s="32"/>
      <c r="P925" s="32"/>
    </row>
    <row r="926" spans="1:19" s="40" customFormat="1">
      <c r="A926" s="194"/>
      <c r="B926" s="72" t="s">
        <v>33</v>
      </c>
      <c r="C926" s="60"/>
      <c r="D926" s="68"/>
      <c r="E926" s="80"/>
      <c r="F926" s="190">
        <v>65808.2</v>
      </c>
      <c r="G926" s="66">
        <v>497964</v>
      </c>
      <c r="H926" s="66">
        <f t="shared" ref="H926" si="165">I926+J926</f>
        <v>77510.399999999994</v>
      </c>
      <c r="I926" s="95"/>
      <c r="J926" s="268">
        <v>77510.399999999994</v>
      </c>
      <c r="K926" s="290"/>
      <c r="L926" s="329">
        <f t="shared" ref="L926:L930" si="166">L905+L912</f>
        <v>0</v>
      </c>
      <c r="M926" s="268"/>
      <c r="N926" s="32"/>
      <c r="O926" s="32"/>
      <c r="P926" s="32"/>
    </row>
    <row r="927" spans="1:19" s="40" customFormat="1" ht="60">
      <c r="A927" s="202">
        <v>46</v>
      </c>
      <c r="B927" s="203" t="s">
        <v>326</v>
      </c>
      <c r="C927" s="253" t="s">
        <v>310</v>
      </c>
      <c r="D927" s="92" t="s">
        <v>309</v>
      </c>
      <c r="E927" s="182">
        <v>39309.199999999997</v>
      </c>
      <c r="F927" s="190">
        <v>39309.199999999997</v>
      </c>
      <c r="G927" s="204"/>
      <c r="H927" s="95"/>
      <c r="I927" s="95"/>
      <c r="J927" s="268"/>
      <c r="K927" s="9"/>
      <c r="L927" s="329">
        <f t="shared" si="166"/>
        <v>0</v>
      </c>
      <c r="M927" s="286"/>
      <c r="N927" s="33">
        <f>N929+N930+N931+N932+N933</f>
        <v>2252520.4</v>
      </c>
      <c r="O927" s="33">
        <f t="shared" ref="O927:S927" si="167">O929+O930+O931+O932+O933</f>
        <v>0</v>
      </c>
      <c r="P927" s="33">
        <f t="shared" si="167"/>
        <v>2252520.4</v>
      </c>
      <c r="Q927" s="33">
        <f t="shared" si="167"/>
        <v>0</v>
      </c>
      <c r="R927" s="33">
        <f t="shared" si="167"/>
        <v>0</v>
      </c>
      <c r="S927" s="33">
        <f t="shared" si="167"/>
        <v>766655.09999999986</v>
      </c>
    </row>
    <row r="928" spans="1:19" s="41" customFormat="1">
      <c r="A928" s="202"/>
      <c r="B928" s="72" t="s">
        <v>86</v>
      </c>
      <c r="C928" s="254"/>
      <c r="D928" s="202"/>
      <c r="E928" s="202"/>
      <c r="F928" s="202"/>
      <c r="G928" s="204"/>
      <c r="H928" s="66"/>
      <c r="I928" s="95"/>
      <c r="J928" s="268"/>
      <c r="K928" s="9"/>
      <c r="L928" s="329">
        <f t="shared" si="166"/>
        <v>0</v>
      </c>
      <c r="M928" s="283"/>
      <c r="N928" s="107">
        <f>H858+H851+H844+H837+H830+H823+H816+H809+H802+H795+H788+H781+H774+H767+H760+H753+H746+H739+H732+H725+H718+H711+H704+H697+H690+H683+H676+H669+H662+H655+H648+H641+H634</f>
        <v>512693.20000000007</v>
      </c>
      <c r="O928" s="107">
        <f t="shared" ref="O928:S933" si="168">I858+I851+I844+I837+I830+I823+I816+I809+I802+I795+I788+I781+I774+I767+I760+I753+I746+I739+I732+I725+I718+I711+I704+I697+I690+I683+I676+I669+I662+I655+I648+I641+I634</f>
        <v>1792</v>
      </c>
      <c r="P928" s="107">
        <f t="shared" si="168"/>
        <v>510901.20000000007</v>
      </c>
      <c r="Q928" s="107">
        <f t="shared" si="168"/>
        <v>0</v>
      </c>
      <c r="R928" s="107">
        <f t="shared" si="168"/>
        <v>0</v>
      </c>
      <c r="S928" s="107">
        <f t="shared" si="168"/>
        <v>0</v>
      </c>
    </row>
    <row r="929" spans="1:19" s="41" customFormat="1">
      <c r="A929" s="202"/>
      <c r="B929" s="72" t="s">
        <v>85</v>
      </c>
      <c r="C929" s="254"/>
      <c r="D929" s="202"/>
      <c r="E929" s="202"/>
      <c r="F929" s="55"/>
      <c r="G929" s="55"/>
      <c r="H929" s="55"/>
      <c r="I929" s="55"/>
      <c r="J929" s="327"/>
      <c r="K929" s="9"/>
      <c r="L929" s="329">
        <f t="shared" si="166"/>
        <v>0</v>
      </c>
      <c r="M929" s="283"/>
      <c r="N929" s="107">
        <f t="shared" ref="N929:N933" si="169">H859+H852+H845+H838+H831+H824+H817+H810+H803+H796+H789+H782+H775+H768+H761+H754+H747+H740+H733+H726+H719+H712+H705+H698+H691+H684+H677+H670+H663+H656+H649+H642+H635</f>
        <v>605602.29999999993</v>
      </c>
      <c r="O929" s="107">
        <f t="shared" si="168"/>
        <v>0</v>
      </c>
      <c r="P929" s="107">
        <f t="shared" si="168"/>
        <v>605602.29999999993</v>
      </c>
      <c r="S929" s="107">
        <f t="shared" si="168"/>
        <v>0</v>
      </c>
    </row>
    <row r="930" spans="1:19" s="41" customFormat="1">
      <c r="A930" s="202"/>
      <c r="B930" s="72" t="s">
        <v>87</v>
      </c>
      <c r="C930" s="254"/>
      <c r="D930" s="202"/>
      <c r="E930" s="202"/>
      <c r="F930" s="202"/>
      <c r="G930" s="204"/>
      <c r="H930" s="66"/>
      <c r="I930" s="95"/>
      <c r="J930" s="268"/>
      <c r="K930" s="9"/>
      <c r="L930" s="329">
        <f t="shared" si="166"/>
        <v>0</v>
      </c>
      <c r="M930" s="283"/>
      <c r="N930" s="107">
        <f t="shared" si="169"/>
        <v>605602.29999999993</v>
      </c>
      <c r="O930" s="107">
        <f t="shared" si="168"/>
        <v>0</v>
      </c>
      <c r="P930" s="107">
        <f t="shared" si="168"/>
        <v>605602.29999999993</v>
      </c>
      <c r="S930" s="107">
        <f t="shared" si="168"/>
        <v>0</v>
      </c>
    </row>
    <row r="931" spans="1:19" s="19" customFormat="1">
      <c r="A931" s="202"/>
      <c r="B931" s="72" t="s">
        <v>31</v>
      </c>
      <c r="C931" s="254"/>
      <c r="D931" s="202"/>
      <c r="E931" s="202"/>
      <c r="F931" s="202"/>
      <c r="G931" s="204"/>
      <c r="H931" s="66"/>
      <c r="I931" s="95"/>
      <c r="J931" s="268"/>
      <c r="K931" s="9"/>
      <c r="L931" s="7"/>
      <c r="M931" s="283"/>
      <c r="N931" s="107">
        <f t="shared" si="169"/>
        <v>605602.30000000005</v>
      </c>
      <c r="O931" s="107">
        <f t="shared" si="168"/>
        <v>0</v>
      </c>
      <c r="P931" s="107">
        <f t="shared" si="168"/>
        <v>605602.30000000005</v>
      </c>
      <c r="S931" s="107">
        <f t="shared" si="168"/>
        <v>0</v>
      </c>
    </row>
    <row r="932" spans="1:19" s="19" customFormat="1" ht="15.75" customHeight="1">
      <c r="A932" s="202"/>
      <c r="B932" s="72" t="s">
        <v>32</v>
      </c>
      <c r="C932" s="254"/>
      <c r="D932" s="202"/>
      <c r="E932" s="202"/>
      <c r="F932" s="205">
        <v>39309.199999999997</v>
      </c>
      <c r="G932" s="205">
        <f>F932*7.11</f>
        <v>279488.41200000001</v>
      </c>
      <c r="H932" s="205">
        <v>150000</v>
      </c>
      <c r="I932" s="205"/>
      <c r="J932" s="331">
        <v>150000</v>
      </c>
      <c r="K932" s="9"/>
      <c r="L932" s="7"/>
      <c r="M932" s="283"/>
      <c r="N932" s="107">
        <f t="shared" si="169"/>
        <v>128971.5</v>
      </c>
      <c r="O932" s="107">
        <f t="shared" si="168"/>
        <v>0</v>
      </c>
      <c r="P932" s="107">
        <f t="shared" si="168"/>
        <v>128971.5</v>
      </c>
      <c r="S932" s="107">
        <f t="shared" si="168"/>
        <v>362141.3</v>
      </c>
    </row>
    <row r="933" spans="1:19" s="19" customFormat="1">
      <c r="A933" s="202"/>
      <c r="B933" s="72" t="s">
        <v>33</v>
      </c>
      <c r="C933" s="254"/>
      <c r="D933" s="202"/>
      <c r="E933" s="202"/>
      <c r="F933" s="205">
        <v>18212.2</v>
      </c>
      <c r="G933" s="205">
        <v>137866</v>
      </c>
      <c r="H933" s="206">
        <v>137866</v>
      </c>
      <c r="I933" s="205"/>
      <c r="J933" s="331">
        <v>137866</v>
      </c>
      <c r="K933" s="9"/>
      <c r="L933" s="7"/>
      <c r="M933" s="283"/>
      <c r="N933" s="107">
        <f t="shared" si="169"/>
        <v>306742</v>
      </c>
      <c r="O933" s="107">
        <f t="shared" si="168"/>
        <v>0</v>
      </c>
      <c r="P933" s="107">
        <f t="shared" si="168"/>
        <v>306742</v>
      </c>
      <c r="S933" s="107">
        <f t="shared" si="168"/>
        <v>404513.79999999993</v>
      </c>
    </row>
    <row r="934" spans="1:19" s="19" customFormat="1" ht="25.5">
      <c r="A934" s="31"/>
      <c r="B934" s="44" t="s">
        <v>279</v>
      </c>
      <c r="C934" s="343"/>
      <c r="D934" s="46"/>
      <c r="E934" s="47"/>
      <c r="F934" s="47"/>
      <c r="G934" s="47"/>
      <c r="H934" s="48"/>
      <c r="I934" s="49"/>
      <c r="J934" s="286"/>
      <c r="K934" s="269"/>
      <c r="L934" s="7"/>
      <c r="M934" s="283"/>
      <c r="N934" s="207">
        <f>N936+N937+N938+N939+N940</f>
        <v>1140479.2999999998</v>
      </c>
      <c r="O934" s="207">
        <f t="shared" ref="O934:R934" si="170">O936+O937+O938+O939+O940</f>
        <v>0</v>
      </c>
      <c r="P934" s="207">
        <f t="shared" si="170"/>
        <v>1140479.2999999998</v>
      </c>
      <c r="Q934" s="207">
        <f t="shared" si="170"/>
        <v>0</v>
      </c>
      <c r="R934" s="207">
        <f t="shared" si="170"/>
        <v>0</v>
      </c>
      <c r="S934" s="207">
        <f>S936+S937+S938+S939+S940</f>
        <v>56000</v>
      </c>
    </row>
    <row r="935" spans="1:19" s="19" customFormat="1">
      <c r="A935" s="31"/>
      <c r="B935" s="44" t="s">
        <v>86</v>
      </c>
      <c r="C935" s="343"/>
      <c r="D935" s="46"/>
      <c r="E935" s="47"/>
      <c r="F935" s="47"/>
      <c r="G935" s="47"/>
      <c r="H935" s="49">
        <f t="shared" ref="H935:L935" si="171">H613+H620+H627+H634+H641+H648+H655+H662+H669+H676+H683+H690+H697+H704+H711+H718+H725+H732+H739+H746+H753+H760+H767+H774+H781+H788+H795+H802+H809+H816+H823+H830+H837+H844+H851+H858+H865+H872+H893+H879+H886+H900+H907+H914+H921+H928</f>
        <v>541862.89999999991</v>
      </c>
      <c r="I935" s="49">
        <f t="shared" si="171"/>
        <v>1792</v>
      </c>
      <c r="J935" s="286">
        <f t="shared" si="171"/>
        <v>540070.89999999991</v>
      </c>
      <c r="K935" s="286">
        <f t="shared" si="171"/>
        <v>0</v>
      </c>
      <c r="L935" s="286">
        <f t="shared" si="171"/>
        <v>0</v>
      </c>
      <c r="M935" s="286"/>
      <c r="N935" s="207">
        <f>H928+H921+H914+H907+H900+H893+H886+H879+H872+H865+H627+H620+H613</f>
        <v>29169.7</v>
      </c>
      <c r="O935" s="207">
        <f t="shared" ref="O935:P940" si="172">I928+I921+I914+I907+I900+I893+I886+I879+I872+I865+I627+I620+I613</f>
        <v>0</v>
      </c>
      <c r="P935" s="207">
        <f t="shared" si="172"/>
        <v>29169.7</v>
      </c>
      <c r="Q935" s="207"/>
      <c r="R935" s="207"/>
      <c r="S935" s="207">
        <f>M928+M921+M914+M907+M900+M893+M886+M879+M872+M865+M627+M620+M613</f>
        <v>0</v>
      </c>
    </row>
    <row r="936" spans="1:19" s="19" customFormat="1">
      <c r="A936" s="31"/>
      <c r="B936" s="44" t="s">
        <v>85</v>
      </c>
      <c r="C936" s="343"/>
      <c r="D936" s="46"/>
      <c r="E936" s="46"/>
      <c r="F936" s="47"/>
      <c r="G936" s="47"/>
      <c r="H936" s="49">
        <f t="shared" ref="H936:J936" si="173">H614+H621+H628+H635+H642+H649+H656+H663+H670+H677+H684+H691+H698+H705+H712+H719+H726+H733+H740+H747+H754+H761+H768+H775+H782+H789+H796+H803+H810+H817+H824+H831+H838+H845+H852+H859+H866+H873+H894+H880+H887+H901+H908+H915+H922+H929</f>
        <v>655924.1</v>
      </c>
      <c r="I936" s="49">
        <f t="shared" si="173"/>
        <v>0</v>
      </c>
      <c r="J936" s="286">
        <f t="shared" si="173"/>
        <v>655924.1</v>
      </c>
      <c r="K936" s="269">
        <f>J936-'[1]капстр (с краевыми)'!$J$240</f>
        <v>345524.1</v>
      </c>
      <c r="L936" s="7"/>
      <c r="M936" s="286"/>
      <c r="N936" s="207">
        <f t="shared" ref="N936:N940" si="174">H929+H922+H915+H908+H901+H894+H887+H880+H873+H866+H628+H621+H614</f>
        <v>50321.8</v>
      </c>
      <c r="O936" s="207">
        <f t="shared" si="172"/>
        <v>0</v>
      </c>
      <c r="P936" s="207">
        <f t="shared" si="172"/>
        <v>50321.8</v>
      </c>
      <c r="Q936" s="207"/>
      <c r="R936" s="207"/>
      <c r="S936" s="207">
        <f t="shared" ref="S936:S940" si="175">M929+M922+M915+M908+M901+M894+M887+M880+M873+M866+M628+M621+M614</f>
        <v>0</v>
      </c>
    </row>
    <row r="937" spans="1:19" s="19" customFormat="1">
      <c r="A937" s="31"/>
      <c r="B937" s="44" t="s">
        <v>87</v>
      </c>
      <c r="C937" s="343"/>
      <c r="D937" s="46"/>
      <c r="E937" s="46"/>
      <c r="F937" s="47"/>
      <c r="G937" s="47"/>
      <c r="H937" s="49">
        <f t="shared" ref="H937:J937" si="176">H615+H622+H629+H636+H643+H650+H657+H664+H671+H678+H685+H692+H699+H706+H713+H720+H727+H734+H741+H748+H755+H762+H769+H776+H783+H790+H797+H804+H811+H818+H825+H832+H839+H846+H853+H860+H867+H874+H895+H881+H888+H902+H909+H916+H923+H930</f>
        <v>731602.29999999993</v>
      </c>
      <c r="I937" s="49">
        <f t="shared" si="176"/>
        <v>0</v>
      </c>
      <c r="J937" s="286">
        <f t="shared" si="176"/>
        <v>731602.29999999993</v>
      </c>
      <c r="K937" s="269">
        <f>J937-'[1]капстр (с краевыми)'!$J$241</f>
        <v>421202.29999999993</v>
      </c>
      <c r="L937" s="7"/>
      <c r="M937" s="286"/>
      <c r="N937" s="207">
        <f t="shared" si="174"/>
        <v>126000</v>
      </c>
      <c r="O937" s="207">
        <f t="shared" si="172"/>
        <v>0</v>
      </c>
      <c r="P937" s="207">
        <f t="shared" si="172"/>
        <v>126000</v>
      </c>
      <c r="Q937" s="207"/>
      <c r="R937" s="207"/>
      <c r="S937" s="207">
        <f t="shared" si="175"/>
        <v>0</v>
      </c>
    </row>
    <row r="938" spans="1:19" s="19" customFormat="1">
      <c r="A938" s="31"/>
      <c r="B938" s="44" t="s">
        <v>31</v>
      </c>
      <c r="C938" s="343"/>
      <c r="D938" s="46"/>
      <c r="E938" s="46"/>
      <c r="F938" s="47"/>
      <c r="G938" s="47"/>
      <c r="H938" s="49">
        <f t="shared" ref="H938:J938" si="177">H616+H623+H630+H637+H644+H651+H658+H665+H672+H679+H686+H693+H700+H707+H714+H721+H728+H735+H742+H749+H756+H763+H770+H777+H784+H791+H798+H805+H812+H819+H826+H833+H840+H847+H854+H861+H868+H875+H896+H882+H889+H903+H910+H917+H924+H931</f>
        <v>778674.8</v>
      </c>
      <c r="I938" s="49">
        <f t="shared" si="177"/>
        <v>0</v>
      </c>
      <c r="J938" s="286">
        <f t="shared" si="177"/>
        <v>778674.8</v>
      </c>
      <c r="K938" s="269">
        <v>560000</v>
      </c>
      <c r="L938" s="7"/>
      <c r="M938" s="286"/>
      <c r="N938" s="207">
        <f t="shared" si="174"/>
        <v>173072.5</v>
      </c>
      <c r="O938" s="207">
        <f t="shared" si="172"/>
        <v>0</v>
      </c>
      <c r="P938" s="207">
        <f t="shared" si="172"/>
        <v>173072.5</v>
      </c>
      <c r="Q938" s="207"/>
      <c r="R938" s="207"/>
      <c r="S938" s="207">
        <f t="shared" si="175"/>
        <v>0</v>
      </c>
    </row>
    <row r="939" spans="1:19" s="19" customFormat="1" ht="15" customHeight="1">
      <c r="A939" s="31"/>
      <c r="B939" s="44" t="s">
        <v>32</v>
      </c>
      <c r="C939" s="343"/>
      <c r="D939" s="46"/>
      <c r="E939" s="46"/>
      <c r="F939" s="47"/>
      <c r="G939" s="47"/>
      <c r="H939" s="49">
        <f t="shared" ref="H939:I939" si="178">H617+H624+H631+H638+H645+H652+H659+H666+H673+H680+H687+H694+H701+H708+H715+H722+H729+H736+H743+H750+H757+H764+H771+H778+H785+H792+H799+H806+H813+H820+H827+H834+H841+H848+H855+H862+H869+H876+H897+H883+H890+H904+H911+H918+H925+H932</f>
        <v>596056.1</v>
      </c>
      <c r="I939" s="49">
        <f t="shared" si="178"/>
        <v>0</v>
      </c>
      <c r="J939" s="286">
        <f>J617+J624+J631+J638+J645+J652+J659+J666+J673+J680+J687+J694+J701+J708+J715+J722+J729+J736+J743+J750+J757+J764+J771+J778+J785+J792+J799+J806+J813+J820+J827+J834+J841+J848+J855+J862+J869+J876+J897+J883+J890+J904+J911+J918+J925+J932</f>
        <v>596056.1</v>
      </c>
      <c r="K939" s="272">
        <v>600000</v>
      </c>
      <c r="L939" s="7"/>
      <c r="M939" s="286">
        <f>M617+M624+M631+M638+M645+M652+M659+M666+M673+M680+M687+M694+M701+M708+M715+M722+M729+M736+M743+M750+M757+M764+M771+M778+M785+M792+M799+M806+M813+M820+M827+M834+M841+M848+M855+M862+M869+M876+M897+M883+M890+M904+M911+M918+M925+M932</f>
        <v>362141.3</v>
      </c>
      <c r="N939" s="207">
        <f t="shared" si="174"/>
        <v>467084.6</v>
      </c>
      <c r="O939" s="207">
        <f t="shared" si="172"/>
        <v>0</v>
      </c>
      <c r="P939" s="207">
        <f t="shared" si="172"/>
        <v>467084.6</v>
      </c>
      <c r="Q939" s="207"/>
      <c r="R939" s="207"/>
      <c r="S939" s="207">
        <f t="shared" si="175"/>
        <v>0</v>
      </c>
    </row>
    <row r="940" spans="1:19" s="19" customFormat="1">
      <c r="A940" s="31"/>
      <c r="B940" s="44" t="s">
        <v>33</v>
      </c>
      <c r="C940" s="343"/>
      <c r="D940" s="46"/>
      <c r="E940" s="46"/>
      <c r="F940" s="47"/>
      <c r="G940" s="47"/>
      <c r="H940" s="49">
        <f t="shared" ref="H940:I940" si="179">H618+H625+H632+H639+H646+H653+H660+H667+H674+H681+H688+H695+H702+H709+H716+H723+H730+H737+H744+H751+H758+H765+H772+H779+H786+H793+H800+H807+H814+H821+H828+H835+H842+H849+H856+H863+H870+H877+H891+H898+H884+H905+H912+H919+H926+H933</f>
        <v>630742.4</v>
      </c>
      <c r="I940" s="49">
        <f t="shared" si="179"/>
        <v>0</v>
      </c>
      <c r="J940" s="286">
        <f>J618+J625+J632+J639+J646+J653+J660+J667+J674+J681+J688+J695+J702+J709+J716+J723+J730+J737+J744+J751+J758+J765+J772+J779+J786+J793+J800+J807+J814+J821+J828+J835+J842+J849+J856+J863+J870+J877+J891+J898+J884+J905+J912+J919+J926+J933</f>
        <v>630742.4</v>
      </c>
      <c r="K940" s="272">
        <v>710000</v>
      </c>
      <c r="L940" s="7"/>
      <c r="M940" s="286">
        <f>M618+M625+M632+M639+M646+M653+M660+M667+M674+M681+M688+M695+M702+M709+M716+M723+M730+M737+M744+M751+M758+M765+M772+M779+M786+M793+M800+M807+M814+M821+M828+M835+M842+M849+M856+M863+M870+M877+M898+M884+M891+M905+M912+M919+M926+M933</f>
        <v>460513.8</v>
      </c>
      <c r="N940" s="207">
        <f t="shared" si="174"/>
        <v>324000.40000000002</v>
      </c>
      <c r="O940" s="207">
        <f t="shared" si="172"/>
        <v>0</v>
      </c>
      <c r="P940" s="207">
        <f t="shared" si="172"/>
        <v>324000.40000000002</v>
      </c>
      <c r="Q940" s="207"/>
      <c r="R940" s="207"/>
      <c r="S940" s="207">
        <f t="shared" si="175"/>
        <v>56000</v>
      </c>
    </row>
    <row r="941" spans="1:19" s="19" customFormat="1">
      <c r="A941" s="145"/>
      <c r="B941" s="208" t="s">
        <v>195</v>
      </c>
      <c r="C941" s="346"/>
      <c r="D941" s="134"/>
      <c r="E941" s="209"/>
      <c r="F941" s="134"/>
      <c r="G941" s="210"/>
      <c r="H941" s="356">
        <f>H943+H944+H945+H946+H947</f>
        <v>9253872.7999999989</v>
      </c>
      <c r="I941" s="356">
        <f t="shared" ref="I941:L941" si="180">I943+I944+I945+I946+I947</f>
        <v>129412.2</v>
      </c>
      <c r="J941" s="356">
        <f t="shared" si="180"/>
        <v>9124460.5999999996</v>
      </c>
      <c r="K941" s="356" t="e">
        <f t="shared" si="180"/>
        <v>#VALUE!</v>
      </c>
      <c r="L941" s="356">
        <f t="shared" si="180"/>
        <v>0</v>
      </c>
      <c r="M941" s="356">
        <f>M943+M944+M945+M946+M947</f>
        <v>4870535.0999999996</v>
      </c>
      <c r="N941" s="207"/>
      <c r="O941" s="132"/>
      <c r="P941" s="132"/>
      <c r="S941" s="207"/>
    </row>
    <row r="942" spans="1:19" s="19" customFormat="1">
      <c r="A942" s="145"/>
      <c r="B942" s="211" t="s">
        <v>86</v>
      </c>
      <c r="C942" s="252"/>
      <c r="D942" s="134"/>
      <c r="E942" s="209"/>
      <c r="F942" s="134"/>
      <c r="G942" s="210"/>
      <c r="H942" s="126">
        <f t="shared" ref="H942:J947" si="181">H194+H363+H399+H519+H541+H605+H935</f>
        <v>1845995.4</v>
      </c>
      <c r="I942" s="126">
        <f t="shared" si="181"/>
        <v>497994.6</v>
      </c>
      <c r="J942" s="280">
        <f t="shared" si="181"/>
        <v>1348000.8</v>
      </c>
      <c r="K942" s="290"/>
      <c r="L942" s="7"/>
      <c r="M942" s="280">
        <f>M194+M363+M399+M519+M541+M605+M935</f>
        <v>0</v>
      </c>
      <c r="N942" s="131"/>
      <c r="O942" s="132"/>
      <c r="P942" s="132"/>
    </row>
    <row r="943" spans="1:19" s="19" customFormat="1">
      <c r="A943" s="145"/>
      <c r="B943" s="211" t="s">
        <v>196</v>
      </c>
      <c r="C943" s="346"/>
      <c r="D943" s="134"/>
      <c r="E943" s="209"/>
      <c r="F943" s="134"/>
      <c r="G943" s="210"/>
      <c r="H943" s="126">
        <f t="shared" si="181"/>
        <v>1909708</v>
      </c>
      <c r="I943" s="126">
        <f t="shared" si="181"/>
        <v>129412.2</v>
      </c>
      <c r="J943" s="280">
        <f t="shared" si="181"/>
        <v>1780295.7999999998</v>
      </c>
      <c r="K943" s="290"/>
      <c r="L943" s="7"/>
      <c r="M943" s="280">
        <f t="shared" ref="M943:M947" si="182">M195+M364+M400+M520+M542+M606+M936</f>
        <v>4000</v>
      </c>
      <c r="N943" s="131"/>
      <c r="O943" s="132"/>
      <c r="P943" s="132"/>
    </row>
    <row r="944" spans="1:19" s="19" customFormat="1">
      <c r="A944" s="145"/>
      <c r="B944" s="211" t="s">
        <v>87</v>
      </c>
      <c r="C944" s="346"/>
      <c r="D944" s="134"/>
      <c r="E944" s="209"/>
      <c r="F944" s="134"/>
      <c r="G944" s="210"/>
      <c r="H944" s="126">
        <f t="shared" si="181"/>
        <v>1596195.2999999998</v>
      </c>
      <c r="I944" s="126">
        <f t="shared" si="181"/>
        <v>0</v>
      </c>
      <c r="J944" s="280">
        <f t="shared" si="181"/>
        <v>1596195.2999999998</v>
      </c>
      <c r="K944" s="290"/>
      <c r="L944" s="7"/>
      <c r="M944" s="280">
        <f t="shared" si="182"/>
        <v>92023.2</v>
      </c>
      <c r="N944" s="131"/>
      <c r="O944" s="132"/>
      <c r="P944" s="132"/>
    </row>
    <row r="945" spans="1:16" s="19" customFormat="1">
      <c r="A945" s="145"/>
      <c r="B945" s="211" t="s">
        <v>31</v>
      </c>
      <c r="C945" s="346"/>
      <c r="D945" s="134"/>
      <c r="E945" s="209"/>
      <c r="F945" s="134"/>
      <c r="G945" s="210"/>
      <c r="H945" s="126">
        <f t="shared" si="181"/>
        <v>1560695.3</v>
      </c>
      <c r="I945" s="126">
        <f t="shared" si="181"/>
        <v>0</v>
      </c>
      <c r="J945" s="280">
        <f t="shared" si="181"/>
        <v>1560695.3</v>
      </c>
      <c r="K945" s="290"/>
      <c r="L945" s="7"/>
      <c r="M945" s="280">
        <f t="shared" si="182"/>
        <v>59366.3</v>
      </c>
      <c r="N945" s="131"/>
      <c r="O945" s="132"/>
      <c r="P945" s="132"/>
    </row>
    <row r="946" spans="1:16" s="19" customFormat="1" ht="18.75" customHeight="1">
      <c r="A946" s="145"/>
      <c r="B946" s="211" t="s">
        <v>32</v>
      </c>
      <c r="C946" s="346"/>
      <c r="D946" s="134"/>
      <c r="E946" s="209"/>
      <c r="F946" s="134"/>
      <c r="G946" s="210"/>
      <c r="H946" s="126">
        <f t="shared" si="181"/>
        <v>2052821.6</v>
      </c>
      <c r="I946" s="126">
        <f t="shared" si="181"/>
        <v>0</v>
      </c>
      <c r="J946" s="280">
        <f t="shared" si="181"/>
        <v>2052821.6</v>
      </c>
      <c r="K946" s="289" t="s">
        <v>137</v>
      </c>
      <c r="L946" s="7"/>
      <c r="M946" s="280">
        <f>M198+M367+M403+M523+M545+M609+M939</f>
        <v>1836342.2999999998</v>
      </c>
      <c r="N946" s="131"/>
      <c r="O946" s="132"/>
      <c r="P946" s="132"/>
    </row>
    <row r="947" spans="1:16" s="19" customFormat="1">
      <c r="A947" s="145"/>
      <c r="B947" s="211" t="s">
        <v>33</v>
      </c>
      <c r="C947" s="346"/>
      <c r="D947" s="134"/>
      <c r="E947" s="209"/>
      <c r="F947" s="134"/>
      <c r="G947" s="210"/>
      <c r="H947" s="126">
        <f t="shared" si="181"/>
        <v>2134452.6</v>
      </c>
      <c r="I947" s="126">
        <f t="shared" si="181"/>
        <v>0</v>
      </c>
      <c r="J947" s="280">
        <f t="shared" si="181"/>
        <v>2134452.6</v>
      </c>
      <c r="K947" s="290"/>
      <c r="L947" s="7"/>
      <c r="M947" s="280">
        <f t="shared" si="182"/>
        <v>2878803.3</v>
      </c>
      <c r="N947" s="131"/>
      <c r="O947" s="132"/>
      <c r="P947" s="132"/>
    </row>
    <row r="948" spans="1:16" s="19" customFormat="1">
      <c r="A948" s="407" t="s">
        <v>194</v>
      </c>
      <c r="B948" s="408"/>
      <c r="C948" s="346"/>
      <c r="D948" s="134"/>
      <c r="E948" s="209"/>
      <c r="F948" s="134"/>
      <c r="G948" s="210"/>
      <c r="H948" s="212"/>
      <c r="I948" s="137"/>
      <c r="J948" s="274"/>
      <c r="K948" s="332">
        <v>97000</v>
      </c>
      <c r="L948" s="7"/>
      <c r="M948" s="283"/>
      <c r="N948" s="131"/>
      <c r="O948" s="132"/>
      <c r="P948" s="132"/>
    </row>
    <row r="949" spans="1:16" s="19" customFormat="1">
      <c r="A949" s="67"/>
      <c r="B949" s="67" t="s">
        <v>11</v>
      </c>
      <c r="C949" s="240"/>
      <c r="D949" s="61"/>
      <c r="E949" s="62"/>
      <c r="F949" s="61"/>
      <c r="G949" s="64"/>
      <c r="H949" s="64"/>
      <c r="I949" s="213"/>
      <c r="J949" s="333"/>
      <c r="K949" s="290"/>
      <c r="L949" s="7"/>
      <c r="M949" s="283"/>
      <c r="N949" s="131"/>
      <c r="O949" s="132"/>
      <c r="P949" s="132"/>
    </row>
    <row r="950" spans="1:16" s="19" customFormat="1" ht="41.25" customHeight="1">
      <c r="A950" s="68">
        <v>1</v>
      </c>
      <c r="B950" s="85" t="s">
        <v>153</v>
      </c>
      <c r="C950" s="255"/>
      <c r="D950" s="214">
        <v>-2012</v>
      </c>
      <c r="E950" s="88"/>
      <c r="F950" s="68"/>
      <c r="G950" s="215"/>
      <c r="H950" s="113"/>
      <c r="I950" s="66"/>
      <c r="J950" s="275"/>
      <c r="K950" s="290"/>
      <c r="L950" s="7"/>
      <c r="M950" s="275"/>
      <c r="N950" s="131"/>
      <c r="O950" s="132"/>
      <c r="P950" s="132"/>
    </row>
    <row r="951" spans="1:16" s="19" customFormat="1">
      <c r="A951" s="68"/>
      <c r="B951" s="72" t="s">
        <v>86</v>
      </c>
      <c r="C951" s="60"/>
      <c r="D951" s="68"/>
      <c r="E951" s="80"/>
      <c r="F951" s="70"/>
      <c r="G951" s="66"/>
      <c r="H951" s="66">
        <f t="shared" ref="H951:H956" si="183">I951+J951</f>
        <v>0</v>
      </c>
      <c r="I951" s="66"/>
      <c r="J951" s="258"/>
      <c r="K951" s="290"/>
      <c r="L951" s="7"/>
      <c r="M951" s="283"/>
      <c r="N951" s="131"/>
      <c r="O951" s="132"/>
      <c r="P951" s="132"/>
    </row>
    <row r="952" spans="1:16" s="19" customFormat="1">
      <c r="A952" s="68"/>
      <c r="B952" s="72" t="s">
        <v>85</v>
      </c>
      <c r="C952" s="60"/>
      <c r="D952" s="68"/>
      <c r="E952" s="80"/>
      <c r="F952" s="70"/>
      <c r="G952" s="66"/>
      <c r="H952" s="66">
        <f t="shared" si="183"/>
        <v>265560</v>
      </c>
      <c r="I952" s="66">
        <v>265560</v>
      </c>
      <c r="J952" s="258"/>
      <c r="K952" s="290"/>
      <c r="L952" s="7"/>
      <c r="M952" s="283"/>
      <c r="N952" s="131"/>
      <c r="O952" s="132"/>
      <c r="P952" s="132"/>
    </row>
    <row r="953" spans="1:16" s="19" customFormat="1" ht="18.75" customHeight="1">
      <c r="A953" s="68"/>
      <c r="B953" s="72" t="s">
        <v>87</v>
      </c>
      <c r="C953" s="60"/>
      <c r="D953" s="68"/>
      <c r="E953" s="74"/>
      <c r="F953" s="70"/>
      <c r="G953" s="66"/>
      <c r="H953" s="66">
        <f t="shared" si="183"/>
        <v>484809.3</v>
      </c>
      <c r="I953" s="66">
        <v>484809.3</v>
      </c>
      <c r="J953" s="258"/>
      <c r="K953" s="289" t="s">
        <v>137</v>
      </c>
      <c r="L953" s="7"/>
      <c r="M953" s="283"/>
      <c r="N953" s="131"/>
      <c r="O953" s="132"/>
      <c r="P953" s="132"/>
    </row>
    <row r="954" spans="1:16" s="19" customFormat="1">
      <c r="A954" s="68"/>
      <c r="B954" s="72" t="s">
        <v>31</v>
      </c>
      <c r="C954" s="60"/>
      <c r="D954" s="68"/>
      <c r="E954" s="74"/>
      <c r="F954" s="70"/>
      <c r="G954" s="66"/>
      <c r="H954" s="66">
        <f t="shared" si="183"/>
        <v>0</v>
      </c>
      <c r="I954" s="66"/>
      <c r="J954" s="258"/>
      <c r="K954" s="290"/>
      <c r="L954" s="7"/>
      <c r="M954" s="283"/>
      <c r="N954" s="131"/>
      <c r="O954" s="132"/>
      <c r="P954" s="132"/>
    </row>
    <row r="955" spans="1:16" s="19" customFormat="1">
      <c r="A955" s="68"/>
      <c r="B955" s="72" t="s">
        <v>32</v>
      </c>
      <c r="C955" s="60"/>
      <c r="D955" s="68"/>
      <c r="E955" s="74"/>
      <c r="F955" s="70"/>
      <c r="G955" s="66"/>
      <c r="H955" s="66">
        <f t="shared" si="183"/>
        <v>0</v>
      </c>
      <c r="I955" s="66"/>
      <c r="J955" s="258"/>
      <c r="K955" s="290"/>
      <c r="L955" s="7"/>
      <c r="M955" s="283"/>
      <c r="N955" s="131"/>
      <c r="O955" s="132"/>
      <c r="P955" s="132"/>
    </row>
    <row r="956" spans="1:16" s="19" customFormat="1">
      <c r="A956" s="68"/>
      <c r="B956" s="72" t="s">
        <v>33</v>
      </c>
      <c r="C956" s="60"/>
      <c r="D956" s="68"/>
      <c r="E956" s="74"/>
      <c r="F956" s="70"/>
      <c r="G956" s="66"/>
      <c r="H956" s="66">
        <f t="shared" si="183"/>
        <v>0</v>
      </c>
      <c r="I956" s="66"/>
      <c r="J956" s="258"/>
      <c r="K956" s="290"/>
      <c r="L956" s="7"/>
      <c r="M956" s="283"/>
      <c r="N956" s="131"/>
      <c r="O956" s="132"/>
      <c r="P956" s="132"/>
    </row>
    <row r="957" spans="1:16" s="19" customFormat="1" ht="43.5" customHeight="1">
      <c r="A957" s="68">
        <v>2</v>
      </c>
      <c r="B957" s="85" t="s">
        <v>189</v>
      </c>
      <c r="C957" s="255"/>
      <c r="D957" s="214">
        <v>-2010</v>
      </c>
      <c r="E957" s="88"/>
      <c r="F957" s="68"/>
      <c r="G957" s="215"/>
      <c r="H957" s="113"/>
      <c r="I957" s="66"/>
      <c r="J957" s="275"/>
      <c r="K957" s="290"/>
      <c r="L957" s="7"/>
      <c r="M957" s="275"/>
      <c r="N957" s="131"/>
      <c r="O957" s="132"/>
      <c r="P957" s="132"/>
    </row>
    <row r="958" spans="1:16" s="19" customFormat="1">
      <c r="A958" s="68"/>
      <c r="B958" s="72" t="s">
        <v>86</v>
      </c>
      <c r="C958" s="60"/>
      <c r="D958" s="68"/>
      <c r="E958" s="80"/>
      <c r="F958" s="70"/>
      <c r="G958" s="66"/>
      <c r="H958" s="66">
        <f t="shared" ref="H958:H963" si="184">I958+J958</f>
        <v>39709.1</v>
      </c>
      <c r="I958" s="66">
        <v>39709.1</v>
      </c>
      <c r="J958" s="258"/>
      <c r="K958" s="290"/>
      <c r="L958" s="7"/>
      <c r="M958" s="283"/>
      <c r="N958" s="131"/>
      <c r="O958" s="132"/>
      <c r="P958" s="132"/>
    </row>
    <row r="959" spans="1:16" s="19" customFormat="1">
      <c r="A959" s="68"/>
      <c r="B959" s="72" t="s">
        <v>85</v>
      </c>
      <c r="C959" s="60"/>
      <c r="D959" s="68"/>
      <c r="E959" s="80"/>
      <c r="F959" s="70"/>
      <c r="G959" s="66"/>
      <c r="H959" s="66">
        <f t="shared" si="184"/>
        <v>0</v>
      </c>
      <c r="I959" s="66"/>
      <c r="J959" s="258"/>
      <c r="K959" s="290"/>
      <c r="L959" s="7"/>
      <c r="M959" s="283"/>
      <c r="N959" s="131"/>
      <c r="O959" s="132"/>
      <c r="P959" s="132"/>
    </row>
    <row r="960" spans="1:16" s="19" customFormat="1">
      <c r="A960" s="68"/>
      <c r="B960" s="72" t="s">
        <v>87</v>
      </c>
      <c r="C960" s="60"/>
      <c r="D960" s="68"/>
      <c r="E960" s="74"/>
      <c r="F960" s="70"/>
      <c r="G960" s="66"/>
      <c r="H960" s="66">
        <f t="shared" si="184"/>
        <v>0</v>
      </c>
      <c r="I960" s="66"/>
      <c r="J960" s="258"/>
      <c r="K960" s="290"/>
      <c r="L960" s="7"/>
      <c r="M960" s="283"/>
      <c r="N960" s="131"/>
      <c r="O960" s="132"/>
      <c r="P960" s="132"/>
    </row>
    <row r="961" spans="1:16" s="19" customFormat="1">
      <c r="A961" s="68"/>
      <c r="B961" s="72" t="s">
        <v>31</v>
      </c>
      <c r="C961" s="60"/>
      <c r="D961" s="68"/>
      <c r="E961" s="74"/>
      <c r="F961" s="70"/>
      <c r="G961" s="66"/>
      <c r="H961" s="66">
        <f t="shared" si="184"/>
        <v>0</v>
      </c>
      <c r="I961" s="66"/>
      <c r="J961" s="258"/>
      <c r="K961" s="290"/>
      <c r="L961" s="7"/>
      <c r="M961" s="283"/>
      <c r="N961" s="131"/>
      <c r="O961" s="132"/>
      <c r="P961" s="132"/>
    </row>
    <row r="962" spans="1:16" s="19" customFormat="1">
      <c r="A962" s="68"/>
      <c r="B962" s="72" t="s">
        <v>32</v>
      </c>
      <c r="C962" s="60"/>
      <c r="D962" s="68"/>
      <c r="E962" s="74"/>
      <c r="F962" s="70"/>
      <c r="G962" s="66"/>
      <c r="H962" s="66">
        <f t="shared" si="184"/>
        <v>0</v>
      </c>
      <c r="I962" s="66"/>
      <c r="J962" s="258"/>
      <c r="K962" s="290"/>
      <c r="L962" s="7"/>
      <c r="M962" s="283"/>
      <c r="N962" s="131"/>
      <c r="O962" s="132"/>
      <c r="P962" s="132"/>
    </row>
    <row r="963" spans="1:16" s="19" customFormat="1">
      <c r="A963" s="68"/>
      <c r="B963" s="72" t="s">
        <v>33</v>
      </c>
      <c r="C963" s="60"/>
      <c r="D963" s="68"/>
      <c r="E963" s="74"/>
      <c r="F963" s="70"/>
      <c r="G963" s="66"/>
      <c r="H963" s="66">
        <f t="shared" si="184"/>
        <v>0</v>
      </c>
      <c r="I963" s="66"/>
      <c r="J963" s="258"/>
      <c r="K963" s="290"/>
      <c r="L963" s="7"/>
      <c r="M963" s="283"/>
      <c r="N963" s="131"/>
      <c r="O963" s="132"/>
      <c r="P963" s="132"/>
    </row>
    <row r="964" spans="1:16" s="19" customFormat="1" ht="42" customHeight="1">
      <c r="A964" s="68">
        <v>3</v>
      </c>
      <c r="B964" s="87" t="s">
        <v>132</v>
      </c>
      <c r="C964" s="255"/>
      <c r="D964" s="214">
        <v>-2010</v>
      </c>
      <c r="E964" s="88"/>
      <c r="F964" s="68"/>
      <c r="G964" s="215"/>
      <c r="H964" s="113"/>
      <c r="I964" s="66"/>
      <c r="J964" s="275"/>
      <c r="K964" s="290"/>
      <c r="L964" s="7"/>
      <c r="M964" s="275"/>
      <c r="N964" s="131"/>
      <c r="O964" s="132"/>
      <c r="P964" s="132"/>
    </row>
    <row r="965" spans="1:16" s="19" customFormat="1">
      <c r="A965" s="68"/>
      <c r="B965" s="72" t="s">
        <v>86</v>
      </c>
      <c r="C965" s="60"/>
      <c r="D965" s="68"/>
      <c r="E965" s="80"/>
      <c r="F965" s="70"/>
      <c r="G965" s="66"/>
      <c r="H965" s="66">
        <f t="shared" ref="H965:H970" si="185">I965+J965</f>
        <v>18408.8</v>
      </c>
      <c r="I965" s="66">
        <v>18408.8</v>
      </c>
      <c r="J965" s="258"/>
      <c r="K965" s="290"/>
      <c r="L965" s="7"/>
      <c r="M965" s="283"/>
      <c r="N965" s="131"/>
      <c r="O965" s="132"/>
      <c r="P965" s="132"/>
    </row>
    <row r="966" spans="1:16" s="19" customFormat="1">
      <c r="A966" s="68"/>
      <c r="B966" s="72" t="s">
        <v>85</v>
      </c>
      <c r="C966" s="60"/>
      <c r="D966" s="68"/>
      <c r="E966" s="80"/>
      <c r="F966" s="70"/>
      <c r="G966" s="66"/>
      <c r="H966" s="66">
        <f t="shared" si="185"/>
        <v>0</v>
      </c>
      <c r="I966" s="66"/>
      <c r="J966" s="258"/>
      <c r="K966" s="332"/>
      <c r="L966" s="7"/>
      <c r="M966" s="283"/>
      <c r="N966" s="131"/>
      <c r="O966" s="132"/>
      <c r="P966" s="132"/>
    </row>
    <row r="967" spans="1:16" s="9" customFormat="1" ht="16.5" customHeight="1">
      <c r="A967" s="68"/>
      <c r="B967" s="72" t="s">
        <v>87</v>
      </c>
      <c r="C967" s="60"/>
      <c r="D967" s="68"/>
      <c r="E967" s="74"/>
      <c r="F967" s="70"/>
      <c r="G967" s="66"/>
      <c r="H967" s="66">
        <f t="shared" si="185"/>
        <v>0</v>
      </c>
      <c r="I967" s="66"/>
      <c r="J967" s="258"/>
      <c r="K967" s="290"/>
      <c r="M967" s="259"/>
      <c r="N967" s="63"/>
      <c r="O967" s="56"/>
      <c r="P967" s="56"/>
    </row>
    <row r="968" spans="1:16" s="9" customFormat="1">
      <c r="A968" s="68"/>
      <c r="B968" s="72" t="s">
        <v>31</v>
      </c>
      <c r="C968" s="60"/>
      <c r="D968" s="68"/>
      <c r="E968" s="74"/>
      <c r="F968" s="70"/>
      <c r="G968" s="66"/>
      <c r="H968" s="66">
        <f t="shared" si="185"/>
        <v>0</v>
      </c>
      <c r="I968" s="66"/>
      <c r="J968" s="258"/>
      <c r="K968" s="290"/>
      <c r="M968" s="259"/>
      <c r="N968" s="63"/>
      <c r="O968" s="56"/>
      <c r="P968" s="56"/>
    </row>
    <row r="969" spans="1:16" s="9" customFormat="1">
      <c r="A969" s="68"/>
      <c r="B969" s="72" t="s">
        <v>32</v>
      </c>
      <c r="C969" s="60"/>
      <c r="D969" s="68"/>
      <c r="E969" s="74"/>
      <c r="F969" s="70"/>
      <c r="G969" s="66"/>
      <c r="H969" s="66">
        <f t="shared" si="185"/>
        <v>0</v>
      </c>
      <c r="I969" s="66"/>
      <c r="J969" s="258"/>
      <c r="K969" s="290"/>
      <c r="M969" s="259"/>
      <c r="N969" s="63"/>
      <c r="O969" s="56"/>
      <c r="P969" s="56"/>
    </row>
    <row r="970" spans="1:16" s="9" customFormat="1">
      <c r="A970" s="68"/>
      <c r="B970" s="72" t="s">
        <v>33</v>
      </c>
      <c r="C970" s="60"/>
      <c r="D970" s="68"/>
      <c r="E970" s="74"/>
      <c r="F970" s="70"/>
      <c r="G970" s="66"/>
      <c r="H970" s="66">
        <f t="shared" si="185"/>
        <v>0</v>
      </c>
      <c r="I970" s="66"/>
      <c r="J970" s="258"/>
      <c r="K970" s="290"/>
      <c r="M970" s="259"/>
      <c r="N970" s="63"/>
      <c r="O970" s="56"/>
      <c r="P970" s="56"/>
    </row>
    <row r="971" spans="1:16" s="9" customFormat="1">
      <c r="A971" s="31"/>
      <c r="B971" s="44" t="s">
        <v>214</v>
      </c>
      <c r="C971" s="343"/>
      <c r="D971" s="46"/>
      <c r="E971" s="47"/>
      <c r="F971" s="47"/>
      <c r="G971" s="47"/>
      <c r="H971" s="48"/>
      <c r="I971" s="49"/>
      <c r="J971" s="286"/>
      <c r="K971" s="269"/>
      <c r="M971" s="275"/>
      <c r="N971" s="63"/>
      <c r="O971" s="56"/>
      <c r="P971" s="56"/>
    </row>
    <row r="972" spans="1:16" s="9" customFormat="1">
      <c r="A972" s="31"/>
      <c r="B972" s="44" t="s">
        <v>86</v>
      </c>
      <c r="C972" s="343"/>
      <c r="D972" s="46"/>
      <c r="E972" s="47"/>
      <c r="F972" s="47"/>
      <c r="G972" s="47"/>
      <c r="H972" s="49">
        <f>H958+H965+H951</f>
        <v>58117.899999999994</v>
      </c>
      <c r="I972" s="49">
        <f>I958+I965+I951</f>
        <v>58117.899999999994</v>
      </c>
      <c r="J972" s="286">
        <f>J958+J965+J951</f>
        <v>0</v>
      </c>
      <c r="K972" s="286">
        <f t="shared" si="148"/>
        <v>0</v>
      </c>
      <c r="M972" s="275"/>
      <c r="N972" s="63"/>
      <c r="O972" s="56"/>
      <c r="P972" s="56"/>
    </row>
    <row r="973" spans="1:16" s="9" customFormat="1">
      <c r="A973" s="31"/>
      <c r="B973" s="44" t="s">
        <v>85</v>
      </c>
      <c r="C973" s="343"/>
      <c r="D973" s="46"/>
      <c r="E973" s="46"/>
      <c r="F973" s="47"/>
      <c r="G973" s="47"/>
      <c r="H973" s="49">
        <f t="shared" ref="H973" si="186">H959+H966+H952</f>
        <v>265560</v>
      </c>
      <c r="I973" s="49">
        <f t="shared" ref="I973:J977" si="187">I959+I966+I952</f>
        <v>265560</v>
      </c>
      <c r="J973" s="286">
        <f t="shared" si="187"/>
        <v>0</v>
      </c>
      <c r="K973" s="286">
        <f t="shared" si="149"/>
        <v>0</v>
      </c>
      <c r="M973" s="275"/>
      <c r="N973" s="63"/>
      <c r="O973" s="56"/>
      <c r="P973" s="56"/>
    </row>
    <row r="974" spans="1:16" s="9" customFormat="1">
      <c r="A974" s="31"/>
      <c r="B974" s="44" t="s">
        <v>87</v>
      </c>
      <c r="C974" s="343"/>
      <c r="D974" s="46"/>
      <c r="E974" s="46"/>
      <c r="F974" s="47"/>
      <c r="G974" s="47"/>
      <c r="H974" s="49">
        <f t="shared" ref="H974" si="188">H960+H967+H953</f>
        <v>484809.3</v>
      </c>
      <c r="I974" s="49">
        <f t="shared" si="187"/>
        <v>484809.3</v>
      </c>
      <c r="J974" s="286">
        <f t="shared" si="187"/>
        <v>0</v>
      </c>
      <c r="K974" s="286">
        <f t="shared" si="150"/>
        <v>0</v>
      </c>
      <c r="M974" s="275"/>
      <c r="N974" s="63"/>
      <c r="O974" s="56"/>
      <c r="P974" s="56"/>
    </row>
    <row r="975" spans="1:16" s="19" customFormat="1">
      <c r="A975" s="31"/>
      <c r="B975" s="44" t="s">
        <v>31</v>
      </c>
      <c r="C975" s="343"/>
      <c r="D975" s="46"/>
      <c r="E975" s="46"/>
      <c r="F975" s="47"/>
      <c r="G975" s="47"/>
      <c r="H975" s="49">
        <f t="shared" ref="H975" si="189">H961+H968+H954</f>
        <v>0</v>
      </c>
      <c r="I975" s="49">
        <f t="shared" si="187"/>
        <v>0</v>
      </c>
      <c r="J975" s="286">
        <f t="shared" si="187"/>
        <v>0</v>
      </c>
      <c r="K975" s="286">
        <f t="shared" si="151"/>
        <v>0</v>
      </c>
      <c r="L975" s="7"/>
      <c r="M975" s="275"/>
      <c r="N975" s="131"/>
      <c r="O975" s="132"/>
      <c r="P975" s="132"/>
    </row>
    <row r="976" spans="1:16" s="19" customFormat="1">
      <c r="A976" s="31"/>
      <c r="B976" s="44" t="s">
        <v>32</v>
      </c>
      <c r="C976" s="343"/>
      <c r="D976" s="46"/>
      <c r="E976" s="46"/>
      <c r="F976" s="47"/>
      <c r="G976" s="47"/>
      <c r="H976" s="49">
        <f t="shared" ref="H976" si="190">H962+H969+H955</f>
        <v>0</v>
      </c>
      <c r="I976" s="49">
        <f t="shared" si="187"/>
        <v>0</v>
      </c>
      <c r="J976" s="286">
        <f t="shared" si="187"/>
        <v>0</v>
      </c>
      <c r="K976" s="286">
        <f t="shared" si="152"/>
        <v>0</v>
      </c>
      <c r="L976" s="7"/>
      <c r="M976" s="275"/>
      <c r="N976" s="131"/>
      <c r="O976" s="132"/>
      <c r="P976" s="132"/>
    </row>
    <row r="977" spans="1:16" s="19" customFormat="1">
      <c r="A977" s="31"/>
      <c r="B977" s="44" t="s">
        <v>33</v>
      </c>
      <c r="C977" s="343"/>
      <c r="D977" s="46"/>
      <c r="E977" s="46"/>
      <c r="F977" s="47"/>
      <c r="G977" s="47"/>
      <c r="H977" s="49">
        <f t="shared" ref="H977" si="191">H963+H970+H956</f>
        <v>0</v>
      </c>
      <c r="I977" s="49">
        <f t="shared" si="187"/>
        <v>0</v>
      </c>
      <c r="J977" s="286">
        <f t="shared" si="187"/>
        <v>0</v>
      </c>
      <c r="K977" s="286">
        <f t="shared" si="154"/>
        <v>0</v>
      </c>
      <c r="L977" s="7"/>
      <c r="M977" s="275"/>
      <c r="N977" s="131"/>
      <c r="O977" s="132"/>
      <c r="P977" s="132"/>
    </row>
    <row r="978" spans="1:16" s="19" customFormat="1">
      <c r="A978" s="73"/>
      <c r="B978" s="67" t="s">
        <v>12</v>
      </c>
      <c r="C978" s="346"/>
      <c r="D978" s="134"/>
      <c r="E978" s="134"/>
      <c r="F978" s="134"/>
      <c r="G978" s="136"/>
      <c r="H978" s="137"/>
      <c r="I978" s="137"/>
      <c r="J978" s="287"/>
      <c r="K978" s="290"/>
      <c r="L978" s="7"/>
      <c r="M978" s="283"/>
      <c r="N978" s="131"/>
      <c r="O978" s="132"/>
      <c r="P978" s="132"/>
    </row>
    <row r="979" spans="1:16" s="19" customFormat="1" ht="25.5">
      <c r="A979" s="216">
        <v>1</v>
      </c>
      <c r="B979" s="124" t="s">
        <v>154</v>
      </c>
      <c r="C979" s="239"/>
      <c r="D979" s="92">
        <v>-2012</v>
      </c>
      <c r="E979" s="55"/>
      <c r="F979" s="55"/>
      <c r="G979" s="122"/>
      <c r="H979" s="95"/>
      <c r="I979" s="95"/>
      <c r="J979" s="268"/>
      <c r="K979" s="290"/>
      <c r="L979" s="7"/>
      <c r="M979" s="275"/>
      <c r="N979" s="131"/>
      <c r="O979" s="132"/>
      <c r="P979" s="132"/>
    </row>
    <row r="980" spans="1:16" s="19" customFormat="1">
      <c r="A980" s="216"/>
      <c r="B980" s="72" t="s">
        <v>86</v>
      </c>
      <c r="C980" s="239"/>
      <c r="D980" s="92"/>
      <c r="E980" s="55"/>
      <c r="F980" s="55"/>
      <c r="G980" s="95"/>
      <c r="H980" s="66">
        <f t="shared" ref="H980:H985" si="192">I980+J980</f>
        <v>375000</v>
      </c>
      <c r="I980" s="126">
        <v>375000</v>
      </c>
      <c r="J980" s="280"/>
      <c r="K980" s="290"/>
      <c r="L980" s="7"/>
      <c r="M980" s="283"/>
      <c r="N980" s="131"/>
      <c r="O980" s="132"/>
      <c r="P980" s="132"/>
    </row>
    <row r="981" spans="1:16" s="19" customFormat="1">
      <c r="A981" s="216"/>
      <c r="B981" s="72" t="s">
        <v>85</v>
      </c>
      <c r="C981" s="239"/>
      <c r="D981" s="92"/>
      <c r="E981" s="55"/>
      <c r="F981" s="55"/>
      <c r="G981" s="95"/>
      <c r="H981" s="66">
        <f t="shared" si="192"/>
        <v>1229582</v>
      </c>
      <c r="I981" s="126">
        <v>1229582</v>
      </c>
      <c r="J981" s="280"/>
      <c r="K981" s="289" t="s">
        <v>137</v>
      </c>
      <c r="L981" s="7"/>
      <c r="M981" s="283"/>
      <c r="N981" s="131"/>
      <c r="O981" s="132"/>
      <c r="P981" s="132"/>
    </row>
    <row r="982" spans="1:16" s="9" customFormat="1">
      <c r="A982" s="216"/>
      <c r="B982" s="72" t="s">
        <v>87</v>
      </c>
      <c r="C982" s="349"/>
      <c r="D982" s="92"/>
      <c r="E982" s="55"/>
      <c r="F982" s="55"/>
      <c r="G982" s="95"/>
      <c r="H982" s="66">
        <f t="shared" si="192"/>
        <v>1300776.8999999999</v>
      </c>
      <c r="I982" s="126">
        <v>1300776.8999999999</v>
      </c>
      <c r="J982" s="280"/>
      <c r="K982" s="7"/>
      <c r="M982" s="259"/>
      <c r="N982" s="63"/>
      <c r="O982" s="56"/>
      <c r="P982" s="56"/>
    </row>
    <row r="983" spans="1:16" s="9" customFormat="1">
      <c r="A983" s="216"/>
      <c r="B983" s="72" t="s">
        <v>31</v>
      </c>
      <c r="C983" s="349"/>
      <c r="D983" s="92"/>
      <c r="E983" s="55"/>
      <c r="F983" s="55"/>
      <c r="G983" s="95"/>
      <c r="H983" s="66">
        <f t="shared" si="192"/>
        <v>0</v>
      </c>
      <c r="I983" s="126"/>
      <c r="J983" s="280"/>
      <c r="K983" s="7"/>
      <c r="M983" s="259"/>
      <c r="N983" s="63"/>
      <c r="O983" s="56"/>
      <c r="P983" s="56"/>
    </row>
    <row r="984" spans="1:16" s="9" customFormat="1">
      <c r="A984" s="216"/>
      <c r="B984" s="72" t="s">
        <v>32</v>
      </c>
      <c r="C984" s="349"/>
      <c r="D984" s="92"/>
      <c r="E984" s="55"/>
      <c r="F984" s="55"/>
      <c r="G984" s="95"/>
      <c r="H984" s="66">
        <f t="shared" si="192"/>
        <v>0</v>
      </c>
      <c r="I984" s="126"/>
      <c r="J984" s="280"/>
      <c r="K984" s="7"/>
      <c r="M984" s="259"/>
      <c r="N984" s="63"/>
      <c r="O984" s="56"/>
      <c r="P984" s="56"/>
    </row>
    <row r="985" spans="1:16" s="9" customFormat="1">
      <c r="A985" s="216"/>
      <c r="B985" s="72" t="s">
        <v>33</v>
      </c>
      <c r="C985" s="349"/>
      <c r="D985" s="92"/>
      <c r="E985" s="55"/>
      <c r="F985" s="55"/>
      <c r="G985" s="95"/>
      <c r="H985" s="66">
        <f t="shared" si="192"/>
        <v>0</v>
      </c>
      <c r="I985" s="126"/>
      <c r="J985" s="280"/>
      <c r="K985" s="7"/>
      <c r="M985" s="259"/>
      <c r="N985" s="63"/>
      <c r="O985" s="56"/>
      <c r="P985" s="56"/>
    </row>
    <row r="986" spans="1:16" s="9" customFormat="1" ht="25.5">
      <c r="A986" s="216">
        <v>2</v>
      </c>
      <c r="B986" s="124" t="s">
        <v>155</v>
      </c>
      <c r="C986" s="239"/>
      <c r="D986" s="214">
        <v>-2010</v>
      </c>
      <c r="E986" s="55"/>
      <c r="F986" s="55"/>
      <c r="G986" s="122"/>
      <c r="H986" s="95"/>
      <c r="I986" s="95"/>
      <c r="J986" s="268"/>
      <c r="K986" s="7"/>
      <c r="M986" s="275"/>
      <c r="N986" s="63"/>
      <c r="O986" s="56"/>
      <c r="P986" s="56"/>
    </row>
    <row r="987" spans="1:16" s="9" customFormat="1">
      <c r="A987" s="216"/>
      <c r="B987" s="72" t="s">
        <v>86</v>
      </c>
      <c r="C987" s="239"/>
      <c r="D987" s="92"/>
      <c r="E987" s="55"/>
      <c r="F987" s="55"/>
      <c r="G987" s="95"/>
      <c r="H987" s="66">
        <f t="shared" ref="H987:H992" si="193">I987+J987</f>
        <v>3500</v>
      </c>
      <c r="I987" s="126">
        <v>3500</v>
      </c>
      <c r="J987" s="280"/>
      <c r="K987" s="7"/>
      <c r="M987" s="259"/>
      <c r="N987" s="63"/>
      <c r="O987" s="56"/>
      <c r="P987" s="56"/>
    </row>
    <row r="988" spans="1:16" s="9" customFormat="1">
      <c r="A988" s="216"/>
      <c r="B988" s="72" t="s">
        <v>85</v>
      </c>
      <c r="C988" s="239"/>
      <c r="D988" s="92"/>
      <c r="E988" s="55"/>
      <c r="F988" s="55"/>
      <c r="G988" s="95"/>
      <c r="H988" s="66">
        <f t="shared" si="193"/>
        <v>0</v>
      </c>
      <c r="I988" s="126"/>
      <c r="J988" s="280"/>
      <c r="K988" s="7"/>
      <c r="M988" s="259"/>
      <c r="N988" s="63"/>
      <c r="O988" s="56"/>
      <c r="P988" s="56"/>
    </row>
    <row r="989" spans="1:16" s="9" customFormat="1">
      <c r="A989" s="216"/>
      <c r="B989" s="72" t="s">
        <v>87</v>
      </c>
      <c r="C989" s="349"/>
      <c r="D989" s="92"/>
      <c r="E989" s="55"/>
      <c r="F989" s="55"/>
      <c r="G989" s="95"/>
      <c r="H989" s="66">
        <f t="shared" si="193"/>
        <v>0</v>
      </c>
      <c r="I989" s="126"/>
      <c r="J989" s="280"/>
      <c r="K989" s="7"/>
      <c r="M989" s="259"/>
      <c r="N989" s="63"/>
      <c r="O989" s="56"/>
      <c r="P989" s="56"/>
    </row>
    <row r="990" spans="1:16" s="9" customFormat="1">
      <c r="A990" s="216"/>
      <c r="B990" s="72" t="s">
        <v>31</v>
      </c>
      <c r="C990" s="349"/>
      <c r="D990" s="92"/>
      <c r="E990" s="55"/>
      <c r="F990" s="55"/>
      <c r="G990" s="95"/>
      <c r="H990" s="66">
        <f t="shared" si="193"/>
        <v>0</v>
      </c>
      <c r="I990" s="126"/>
      <c r="J990" s="280"/>
      <c r="K990" s="7"/>
      <c r="M990" s="259"/>
      <c r="N990" s="63"/>
      <c r="O990" s="56"/>
      <c r="P990" s="56"/>
    </row>
    <row r="991" spans="1:16" s="9" customFormat="1">
      <c r="A991" s="216"/>
      <c r="B991" s="72" t="s">
        <v>32</v>
      </c>
      <c r="C991" s="349"/>
      <c r="D991" s="92"/>
      <c r="E991" s="55"/>
      <c r="F991" s="55"/>
      <c r="G991" s="95"/>
      <c r="H991" s="66">
        <f t="shared" si="193"/>
        <v>0</v>
      </c>
      <c r="I991" s="126"/>
      <c r="J991" s="280"/>
      <c r="K991" s="7"/>
      <c r="M991" s="259"/>
      <c r="N991" s="63"/>
      <c r="O991" s="56"/>
      <c r="P991" s="56"/>
    </row>
    <row r="992" spans="1:16" s="9" customFormat="1">
      <c r="A992" s="216"/>
      <c r="B992" s="72" t="s">
        <v>33</v>
      </c>
      <c r="C992" s="349"/>
      <c r="D992" s="92"/>
      <c r="E992" s="55"/>
      <c r="F992" s="55"/>
      <c r="G992" s="95"/>
      <c r="H992" s="66">
        <f t="shared" si="193"/>
        <v>0</v>
      </c>
      <c r="I992" s="126"/>
      <c r="J992" s="280"/>
      <c r="K992" s="7"/>
      <c r="M992" s="259"/>
      <c r="N992" s="63"/>
      <c r="O992" s="56"/>
      <c r="P992" s="56"/>
    </row>
    <row r="993" spans="1:16" s="9" customFormat="1" ht="51">
      <c r="A993" s="216">
        <v>3</v>
      </c>
      <c r="B993" s="130" t="s">
        <v>190</v>
      </c>
      <c r="C993" s="239" t="s">
        <v>141</v>
      </c>
      <c r="D993" s="92">
        <v>-2013</v>
      </c>
      <c r="E993" s="55"/>
      <c r="F993" s="55"/>
      <c r="G993" s="122"/>
      <c r="H993" s="95"/>
      <c r="I993" s="95"/>
      <c r="J993" s="268"/>
      <c r="K993" s="7"/>
      <c r="M993" s="275"/>
      <c r="N993" s="63"/>
      <c r="O993" s="56"/>
      <c r="P993" s="56"/>
    </row>
    <row r="994" spans="1:16" s="9" customFormat="1">
      <c r="A994" s="216"/>
      <c r="B994" s="72" t="s">
        <v>86</v>
      </c>
      <c r="C994" s="239"/>
      <c r="D994" s="92"/>
      <c r="E994" s="55"/>
      <c r="F994" s="55"/>
      <c r="G994" s="95"/>
      <c r="H994" s="66">
        <f t="shared" ref="H994:H999" si="194">I994+J994</f>
        <v>250000</v>
      </c>
      <c r="I994" s="126">
        <v>250000</v>
      </c>
      <c r="J994" s="280"/>
      <c r="K994" s="7"/>
      <c r="M994" s="259"/>
      <c r="N994" s="63"/>
      <c r="O994" s="56"/>
      <c r="P994" s="56"/>
    </row>
    <row r="995" spans="1:16" s="9" customFormat="1">
      <c r="A995" s="216"/>
      <c r="B995" s="72" t="s">
        <v>85</v>
      </c>
      <c r="C995" s="239"/>
      <c r="D995" s="92"/>
      <c r="E995" s="55"/>
      <c r="F995" s="55"/>
      <c r="G995" s="95"/>
      <c r="H995" s="66">
        <f t="shared" si="194"/>
        <v>1000000</v>
      </c>
      <c r="I995" s="126">
        <v>1000000</v>
      </c>
      <c r="J995" s="280"/>
      <c r="K995" s="7"/>
      <c r="M995" s="259"/>
      <c r="N995" s="63"/>
      <c r="O995" s="56"/>
      <c r="P995" s="56"/>
    </row>
    <row r="996" spans="1:16" s="9" customFormat="1">
      <c r="A996" s="216"/>
      <c r="B996" s="72" t="s">
        <v>87</v>
      </c>
      <c r="C996" s="349"/>
      <c r="D996" s="92"/>
      <c r="E996" s="55"/>
      <c r="F996" s="55"/>
      <c r="G996" s="95"/>
      <c r="H996" s="66">
        <f t="shared" si="194"/>
        <v>1000000</v>
      </c>
      <c r="I996" s="126">
        <v>1000000</v>
      </c>
      <c r="J996" s="280"/>
      <c r="K996" s="7">
        <v>77500</v>
      </c>
      <c r="M996" s="259"/>
      <c r="N996" s="63"/>
      <c r="O996" s="56"/>
      <c r="P996" s="56"/>
    </row>
    <row r="997" spans="1:16" s="9" customFormat="1">
      <c r="A997" s="216"/>
      <c r="B997" s="72" t="s">
        <v>31</v>
      </c>
      <c r="C997" s="349"/>
      <c r="D997" s="92"/>
      <c r="E997" s="55"/>
      <c r="F997" s="55"/>
      <c r="G997" s="95"/>
      <c r="H997" s="66">
        <f t="shared" si="194"/>
        <v>2696900</v>
      </c>
      <c r="I997" s="126">
        <v>2696900</v>
      </c>
      <c r="J997" s="280"/>
      <c r="K997" s="7"/>
      <c r="M997" s="259"/>
      <c r="N997" s="63"/>
      <c r="O997" s="56"/>
      <c r="P997" s="56"/>
    </row>
    <row r="998" spans="1:16" s="9" customFormat="1">
      <c r="A998" s="216"/>
      <c r="B998" s="72" t="s">
        <v>32</v>
      </c>
      <c r="C998" s="349"/>
      <c r="D998" s="92"/>
      <c r="E998" s="55"/>
      <c r="F998" s="55"/>
      <c r="G998" s="95"/>
      <c r="H998" s="66">
        <f t="shared" si="194"/>
        <v>0</v>
      </c>
      <c r="I998" s="126"/>
      <c r="J998" s="280"/>
      <c r="K998" s="7"/>
      <c r="M998" s="259"/>
      <c r="N998" s="63"/>
      <c r="O998" s="56"/>
      <c r="P998" s="56"/>
    </row>
    <row r="999" spans="1:16" s="9" customFormat="1">
      <c r="A999" s="216"/>
      <c r="B999" s="72" t="s">
        <v>33</v>
      </c>
      <c r="C999" s="349"/>
      <c r="D999" s="92"/>
      <c r="E999" s="55"/>
      <c r="F999" s="55"/>
      <c r="G999" s="95"/>
      <c r="H999" s="66">
        <f t="shared" si="194"/>
        <v>0</v>
      </c>
      <c r="I999" s="126"/>
      <c r="J999" s="280"/>
      <c r="K999" s="7"/>
      <c r="M999" s="259"/>
      <c r="N999" s="63"/>
      <c r="O999" s="56"/>
      <c r="P999" s="56"/>
    </row>
    <row r="1000" spans="1:16" s="9" customFormat="1" ht="38.25">
      <c r="A1000" s="216">
        <v>4</v>
      </c>
      <c r="B1000" s="124" t="s">
        <v>191</v>
      </c>
      <c r="C1000" s="239"/>
      <c r="D1000" s="92" t="s">
        <v>136</v>
      </c>
      <c r="E1000" s="55"/>
      <c r="F1000" s="55"/>
      <c r="G1000" s="122"/>
      <c r="H1000" s="95"/>
      <c r="I1000" s="95"/>
      <c r="J1000" s="268"/>
      <c r="K1000" s="7"/>
      <c r="M1000" s="275"/>
      <c r="N1000" s="63"/>
      <c r="O1000" s="56"/>
      <c r="P1000" s="56"/>
    </row>
    <row r="1001" spans="1:16" s="9" customFormat="1">
      <c r="A1001" s="216"/>
      <c r="B1001" s="72" t="s">
        <v>86</v>
      </c>
      <c r="C1001" s="239"/>
      <c r="D1001" s="92"/>
      <c r="E1001" s="55"/>
      <c r="F1001" s="55"/>
      <c r="G1001" s="95"/>
      <c r="H1001" s="126">
        <f>SUM(I1001)</f>
        <v>12480</v>
      </c>
      <c r="I1001" s="126">
        <v>12480</v>
      </c>
      <c r="J1001" s="280"/>
      <c r="K1001" s="7"/>
      <c r="M1001" s="259"/>
      <c r="N1001" s="63"/>
      <c r="O1001" s="56"/>
      <c r="P1001" s="56"/>
    </row>
    <row r="1002" spans="1:16" s="9" customFormat="1">
      <c r="A1002" s="216"/>
      <c r="B1002" s="72" t="s">
        <v>85</v>
      </c>
      <c r="C1002" s="239"/>
      <c r="D1002" s="92"/>
      <c r="E1002" s="55"/>
      <c r="F1002" s="55"/>
      <c r="G1002" s="95"/>
      <c r="H1002" s="126">
        <f>SUM(I1002)</f>
        <v>10000</v>
      </c>
      <c r="I1002" s="126">
        <v>10000</v>
      </c>
      <c r="J1002" s="280"/>
      <c r="K1002" s="7"/>
      <c r="M1002" s="259"/>
      <c r="N1002" s="63"/>
      <c r="O1002" s="56"/>
      <c r="P1002" s="56"/>
    </row>
    <row r="1003" spans="1:16" s="9" customFormat="1">
      <c r="A1003" s="216"/>
      <c r="B1003" s="72" t="s">
        <v>87</v>
      </c>
      <c r="C1003" s="349"/>
      <c r="D1003" s="92"/>
      <c r="E1003" s="55"/>
      <c r="F1003" s="55"/>
      <c r="G1003" s="95"/>
      <c r="H1003" s="126"/>
      <c r="I1003" s="126"/>
      <c r="J1003" s="280"/>
      <c r="K1003" s="7"/>
      <c r="M1003" s="259"/>
      <c r="N1003" s="63"/>
      <c r="O1003" s="56"/>
      <c r="P1003" s="56"/>
    </row>
    <row r="1004" spans="1:16" s="9" customFormat="1">
      <c r="A1004" s="216"/>
      <c r="B1004" s="72" t="s">
        <v>31</v>
      </c>
      <c r="C1004" s="349"/>
      <c r="D1004" s="92"/>
      <c r="E1004" s="55"/>
      <c r="F1004" s="55"/>
      <c r="G1004" s="95"/>
      <c r="H1004" s="126"/>
      <c r="I1004" s="126"/>
      <c r="J1004" s="280"/>
      <c r="K1004" s="7"/>
      <c r="M1004" s="259"/>
      <c r="N1004" s="63"/>
      <c r="O1004" s="56"/>
      <c r="P1004" s="56"/>
    </row>
    <row r="1005" spans="1:16" s="9" customFormat="1">
      <c r="A1005" s="216"/>
      <c r="B1005" s="72" t="s">
        <v>32</v>
      </c>
      <c r="C1005" s="349"/>
      <c r="D1005" s="92"/>
      <c r="E1005" s="55"/>
      <c r="F1005" s="55"/>
      <c r="G1005" s="95"/>
      <c r="H1005" s="126"/>
      <c r="I1005" s="126"/>
      <c r="J1005" s="280"/>
      <c r="K1005" s="7"/>
      <c r="M1005" s="259"/>
      <c r="N1005" s="63"/>
      <c r="O1005" s="56"/>
      <c r="P1005" s="56"/>
    </row>
    <row r="1006" spans="1:16" s="9" customFormat="1">
      <c r="A1006" s="216"/>
      <c r="B1006" s="72" t="s">
        <v>33</v>
      </c>
      <c r="C1006" s="349"/>
      <c r="D1006" s="92"/>
      <c r="E1006" s="55"/>
      <c r="F1006" s="55"/>
      <c r="G1006" s="95"/>
      <c r="H1006" s="126"/>
      <c r="I1006" s="126"/>
      <c r="J1006" s="280"/>
      <c r="K1006" s="7"/>
      <c r="M1006" s="259"/>
      <c r="N1006" s="63"/>
      <c r="O1006" s="56"/>
      <c r="P1006" s="56"/>
    </row>
    <row r="1007" spans="1:16" s="9" customFormat="1">
      <c r="A1007" s="31"/>
      <c r="B1007" s="44" t="s">
        <v>221</v>
      </c>
      <c r="C1007" s="343"/>
      <c r="D1007" s="46"/>
      <c r="E1007" s="47"/>
      <c r="F1007" s="47"/>
      <c r="G1007" s="47"/>
      <c r="H1007" s="48"/>
      <c r="I1007" s="49"/>
      <c r="J1007" s="286"/>
      <c r="K1007" s="269"/>
      <c r="M1007" s="275"/>
      <c r="N1007" s="63"/>
      <c r="O1007" s="56"/>
      <c r="P1007" s="56"/>
    </row>
    <row r="1008" spans="1:16" s="9" customFormat="1">
      <c r="A1008" s="31"/>
      <c r="B1008" s="44" t="s">
        <v>86</v>
      </c>
      <c r="C1008" s="343"/>
      <c r="D1008" s="46"/>
      <c r="E1008" s="47"/>
      <c r="F1008" s="47"/>
      <c r="G1008" s="47"/>
      <c r="H1008" s="49">
        <f>H994+H1001+H987+H980</f>
        <v>640980</v>
      </c>
      <c r="I1008" s="49">
        <f>I994+I1001+I987+I980</f>
        <v>640980</v>
      </c>
      <c r="J1008" s="286">
        <f>J994+J1001+J987+J980</f>
        <v>0</v>
      </c>
      <c r="K1008" s="286">
        <f t="shared" si="159"/>
        <v>0</v>
      </c>
      <c r="M1008" s="275"/>
      <c r="N1008" s="63"/>
      <c r="O1008" s="56"/>
      <c r="P1008" s="56"/>
    </row>
    <row r="1009" spans="1:16" s="9" customFormat="1">
      <c r="A1009" s="31"/>
      <c r="B1009" s="44" t="s">
        <v>85</v>
      </c>
      <c r="C1009" s="343"/>
      <c r="D1009" s="46"/>
      <c r="E1009" s="46"/>
      <c r="F1009" s="47"/>
      <c r="G1009" s="47"/>
      <c r="H1009" s="49">
        <f t="shared" ref="H1009" si="195">H995+H1002+H988+H981</f>
        <v>2239582</v>
      </c>
      <c r="I1009" s="49">
        <f t="shared" ref="I1009:J1013" si="196">I995+I1002+I988+I981</f>
        <v>2239582</v>
      </c>
      <c r="J1009" s="286">
        <f t="shared" si="196"/>
        <v>0</v>
      </c>
      <c r="K1009" s="286">
        <f t="shared" si="160"/>
        <v>0</v>
      </c>
      <c r="M1009" s="275"/>
      <c r="N1009" s="63"/>
      <c r="O1009" s="56"/>
      <c r="P1009" s="56"/>
    </row>
    <row r="1010" spans="1:16" s="9" customFormat="1">
      <c r="A1010" s="31"/>
      <c r="B1010" s="44" t="s">
        <v>87</v>
      </c>
      <c r="C1010" s="343"/>
      <c r="D1010" s="46"/>
      <c r="E1010" s="46"/>
      <c r="F1010" s="47"/>
      <c r="G1010" s="47"/>
      <c r="H1010" s="49">
        <f t="shared" ref="H1010" si="197">H996+H1003+H989+H982</f>
        <v>2300776.9</v>
      </c>
      <c r="I1010" s="49">
        <f t="shared" si="196"/>
        <v>2300776.9</v>
      </c>
      <c r="J1010" s="286">
        <f t="shared" si="196"/>
        <v>0</v>
      </c>
      <c r="K1010" s="286">
        <f t="shared" si="160"/>
        <v>77500</v>
      </c>
      <c r="M1010" s="275"/>
      <c r="N1010" s="63"/>
      <c r="O1010" s="56"/>
      <c r="P1010" s="56"/>
    </row>
    <row r="1011" spans="1:16" s="9" customFormat="1">
      <c r="A1011" s="31"/>
      <c r="B1011" s="44" t="s">
        <v>31</v>
      </c>
      <c r="C1011" s="343"/>
      <c r="D1011" s="46"/>
      <c r="E1011" s="46"/>
      <c r="F1011" s="47"/>
      <c r="G1011" s="47"/>
      <c r="H1011" s="49">
        <f t="shared" ref="H1011" si="198">H997+H1004+H990+H983</f>
        <v>2696900</v>
      </c>
      <c r="I1011" s="49">
        <f t="shared" si="196"/>
        <v>2696900</v>
      </c>
      <c r="J1011" s="286">
        <f t="shared" si="196"/>
        <v>0</v>
      </c>
      <c r="K1011" s="286">
        <f t="shared" si="160"/>
        <v>0</v>
      </c>
      <c r="M1011" s="275"/>
      <c r="N1011" s="63"/>
      <c r="O1011" s="56"/>
      <c r="P1011" s="56"/>
    </row>
    <row r="1012" spans="1:16" s="9" customFormat="1">
      <c r="A1012" s="31"/>
      <c r="B1012" s="44" t="s">
        <v>32</v>
      </c>
      <c r="C1012" s="343"/>
      <c r="D1012" s="46"/>
      <c r="E1012" s="46"/>
      <c r="F1012" s="47"/>
      <c r="G1012" s="47"/>
      <c r="H1012" s="49">
        <f t="shared" ref="H1012" si="199">H998+H1005+H991+H984</f>
        <v>0</v>
      </c>
      <c r="I1012" s="49">
        <f t="shared" si="196"/>
        <v>0</v>
      </c>
      <c r="J1012" s="286">
        <f t="shared" si="196"/>
        <v>0</v>
      </c>
      <c r="K1012" s="286">
        <f t="shared" si="160"/>
        <v>0</v>
      </c>
      <c r="M1012" s="275"/>
      <c r="N1012" s="63"/>
      <c r="O1012" s="56"/>
      <c r="P1012" s="56"/>
    </row>
    <row r="1013" spans="1:16" s="22" customFormat="1">
      <c r="A1013" s="31"/>
      <c r="B1013" s="44" t="s">
        <v>33</v>
      </c>
      <c r="C1013" s="343"/>
      <c r="D1013" s="46"/>
      <c r="E1013" s="46"/>
      <c r="F1013" s="47"/>
      <c r="G1013" s="47"/>
      <c r="H1013" s="49">
        <f t="shared" ref="H1013" si="200">H999+H1006+H992+H985</f>
        <v>0</v>
      </c>
      <c r="I1013" s="49">
        <f t="shared" si="196"/>
        <v>0</v>
      </c>
      <c r="J1013" s="286">
        <f t="shared" si="196"/>
        <v>0</v>
      </c>
      <c r="K1013" s="286">
        <f t="shared" si="160"/>
        <v>0</v>
      </c>
      <c r="L1013" s="334"/>
      <c r="M1013" s="275"/>
      <c r="N1013" s="217"/>
      <c r="O1013" s="218"/>
      <c r="P1013" s="218"/>
    </row>
    <row r="1014" spans="1:16" s="23" customFormat="1">
      <c r="A1014" s="73"/>
      <c r="B1014" s="67" t="s">
        <v>15</v>
      </c>
      <c r="C1014" s="346"/>
      <c r="D1014" s="134"/>
      <c r="E1014" s="134"/>
      <c r="F1014" s="135"/>
      <c r="G1014" s="136"/>
      <c r="H1014" s="137"/>
      <c r="I1014" s="137"/>
      <c r="J1014" s="287"/>
      <c r="K1014" s="7"/>
      <c r="L1014" s="334"/>
      <c r="M1014" s="335"/>
      <c r="N1014" s="217"/>
      <c r="O1014" s="218"/>
      <c r="P1014" s="218"/>
    </row>
    <row r="1015" spans="1:16" s="23" customFormat="1" ht="25.5">
      <c r="A1015" s="68">
        <v>1</v>
      </c>
      <c r="B1015" s="138" t="s">
        <v>192</v>
      </c>
      <c r="C1015" s="60" t="s">
        <v>21</v>
      </c>
      <c r="D1015" s="68">
        <v>-2011</v>
      </c>
      <c r="E1015" s="74"/>
      <c r="F1015" s="140"/>
      <c r="G1015" s="140"/>
      <c r="H1015" s="113"/>
      <c r="I1015" s="113"/>
      <c r="J1015" s="275"/>
      <c r="K1015" s="7"/>
      <c r="L1015" s="334"/>
      <c r="M1015" s="275"/>
      <c r="N1015" s="217"/>
      <c r="O1015" s="218"/>
      <c r="P1015" s="218"/>
    </row>
    <row r="1016" spans="1:16" s="23" customFormat="1">
      <c r="A1016" s="68"/>
      <c r="B1016" s="72" t="s">
        <v>86</v>
      </c>
      <c r="C1016" s="60"/>
      <c r="D1016" s="68"/>
      <c r="E1016" s="74"/>
      <c r="F1016" s="140"/>
      <c r="G1016" s="140"/>
      <c r="H1016" s="66">
        <f t="shared" ref="H1016:H1021" si="201">I1016+J1016</f>
        <v>1210000</v>
      </c>
      <c r="I1016" s="113">
        <v>1210000</v>
      </c>
      <c r="J1016" s="275"/>
      <c r="K1016" s="7"/>
      <c r="L1016" s="334"/>
      <c r="M1016" s="335"/>
      <c r="N1016" s="217"/>
      <c r="O1016" s="218"/>
      <c r="P1016" s="218"/>
    </row>
    <row r="1017" spans="1:16" s="23" customFormat="1">
      <c r="A1017" s="68"/>
      <c r="B1017" s="72" t="s">
        <v>85</v>
      </c>
      <c r="C1017" s="60"/>
      <c r="D1017" s="68"/>
      <c r="E1017" s="74"/>
      <c r="F1017" s="140"/>
      <c r="G1017" s="141"/>
      <c r="H1017" s="66">
        <f t="shared" si="201"/>
        <v>200000</v>
      </c>
      <c r="I1017" s="113">
        <v>200000</v>
      </c>
      <c r="J1017" s="275"/>
      <c r="K1017" s="7"/>
      <c r="L1017" s="334"/>
      <c r="M1017" s="335"/>
      <c r="N1017" s="217"/>
      <c r="O1017" s="218"/>
      <c r="P1017" s="218"/>
    </row>
    <row r="1018" spans="1:16" s="23" customFormat="1">
      <c r="A1018" s="68"/>
      <c r="B1018" s="72" t="s">
        <v>87</v>
      </c>
      <c r="C1018" s="60"/>
      <c r="D1018" s="68"/>
      <c r="E1018" s="74"/>
      <c r="F1018" s="140"/>
      <c r="G1018" s="141"/>
      <c r="H1018" s="66">
        <f t="shared" si="201"/>
        <v>0</v>
      </c>
      <c r="I1018" s="113"/>
      <c r="J1018" s="275"/>
      <c r="K1018" s="7"/>
      <c r="L1018" s="334"/>
      <c r="M1018" s="335"/>
      <c r="N1018" s="217"/>
      <c r="O1018" s="218"/>
      <c r="P1018" s="218"/>
    </row>
    <row r="1019" spans="1:16" s="23" customFormat="1">
      <c r="A1019" s="68"/>
      <c r="B1019" s="72" t="s">
        <v>31</v>
      </c>
      <c r="C1019" s="60"/>
      <c r="D1019" s="68"/>
      <c r="E1019" s="74"/>
      <c r="F1019" s="140"/>
      <c r="G1019" s="141"/>
      <c r="H1019" s="66">
        <f t="shared" si="201"/>
        <v>0</v>
      </c>
      <c r="I1019" s="113"/>
      <c r="J1019" s="275"/>
      <c r="K1019" s="7"/>
      <c r="L1019" s="334"/>
      <c r="M1019" s="335"/>
      <c r="N1019" s="217"/>
      <c r="O1019" s="218"/>
      <c r="P1019" s="218"/>
    </row>
    <row r="1020" spans="1:16" s="22" customFormat="1">
      <c r="A1020" s="68"/>
      <c r="B1020" s="72" t="s">
        <v>32</v>
      </c>
      <c r="C1020" s="60"/>
      <c r="D1020" s="68"/>
      <c r="E1020" s="74"/>
      <c r="F1020" s="140"/>
      <c r="G1020" s="141"/>
      <c r="H1020" s="66">
        <f t="shared" si="201"/>
        <v>0</v>
      </c>
      <c r="I1020" s="113"/>
      <c r="J1020" s="275"/>
      <c r="K1020" s="7"/>
      <c r="L1020" s="334"/>
      <c r="M1020" s="335"/>
      <c r="N1020" s="217"/>
      <c r="O1020" s="218"/>
      <c r="P1020" s="218"/>
    </row>
    <row r="1021" spans="1:16" s="23" customFormat="1">
      <c r="A1021" s="68"/>
      <c r="B1021" s="72" t="s">
        <v>33</v>
      </c>
      <c r="C1021" s="60"/>
      <c r="D1021" s="68"/>
      <c r="E1021" s="74"/>
      <c r="F1021" s="140"/>
      <c r="G1021" s="141"/>
      <c r="H1021" s="66">
        <f t="shared" si="201"/>
        <v>0</v>
      </c>
      <c r="I1021" s="140"/>
      <c r="J1021" s="275"/>
      <c r="K1021" s="7"/>
      <c r="L1021" s="334"/>
      <c r="M1021" s="335"/>
      <c r="N1021" s="217"/>
      <c r="O1021" s="218"/>
      <c r="P1021" s="218"/>
    </row>
    <row r="1022" spans="1:16" s="23" customFormat="1" ht="63.75">
      <c r="A1022" s="68">
        <v>2</v>
      </c>
      <c r="B1022" s="219" t="s">
        <v>193</v>
      </c>
      <c r="C1022" s="60" t="s">
        <v>21</v>
      </c>
      <c r="D1022" s="68">
        <v>-2012</v>
      </c>
      <c r="E1022" s="74"/>
      <c r="F1022" s="140"/>
      <c r="G1022" s="140"/>
      <c r="H1022" s="113"/>
      <c r="I1022" s="113"/>
      <c r="J1022" s="275"/>
      <c r="K1022" s="7"/>
      <c r="L1022" s="334"/>
      <c r="M1022" s="275"/>
      <c r="N1022" s="217"/>
      <c r="O1022" s="218"/>
      <c r="P1022" s="218"/>
    </row>
    <row r="1023" spans="1:16" s="23" customFormat="1">
      <c r="A1023" s="68"/>
      <c r="B1023" s="72" t="s">
        <v>86</v>
      </c>
      <c r="C1023" s="60"/>
      <c r="D1023" s="68"/>
      <c r="E1023" s="74"/>
      <c r="F1023" s="140"/>
      <c r="G1023" s="140"/>
      <c r="H1023" s="66">
        <f t="shared" ref="H1023:H1028" si="202">I1023+J1023</f>
        <v>0</v>
      </c>
      <c r="I1023" s="113"/>
      <c r="J1023" s="275"/>
      <c r="K1023" s="7"/>
      <c r="L1023" s="334"/>
      <c r="M1023" s="335"/>
      <c r="N1023" s="217"/>
      <c r="O1023" s="218"/>
      <c r="P1023" s="218"/>
    </row>
    <row r="1024" spans="1:16" s="23" customFormat="1">
      <c r="A1024" s="68"/>
      <c r="B1024" s="72" t="s">
        <v>85</v>
      </c>
      <c r="C1024" s="60"/>
      <c r="D1024" s="68"/>
      <c r="E1024" s="74"/>
      <c r="F1024" s="140"/>
      <c r="G1024" s="141"/>
      <c r="H1024" s="66">
        <f t="shared" si="202"/>
        <v>70000</v>
      </c>
      <c r="I1024" s="113">
        <v>70000</v>
      </c>
      <c r="J1024" s="275"/>
      <c r="K1024" s="7"/>
      <c r="L1024" s="334"/>
      <c r="M1024" s="335"/>
      <c r="N1024" s="217"/>
      <c r="O1024" s="218"/>
      <c r="P1024" s="218"/>
    </row>
    <row r="1025" spans="1:16" s="23" customFormat="1">
      <c r="A1025" s="68"/>
      <c r="B1025" s="72" t="s">
        <v>87</v>
      </c>
      <c r="C1025" s="60"/>
      <c r="D1025" s="68"/>
      <c r="E1025" s="74"/>
      <c r="F1025" s="140"/>
      <c r="G1025" s="141"/>
      <c r="H1025" s="66">
        <f t="shared" si="202"/>
        <v>66118.2</v>
      </c>
      <c r="I1025" s="113">
        <v>66118.2</v>
      </c>
      <c r="J1025" s="275"/>
      <c r="K1025" s="7"/>
      <c r="L1025" s="334"/>
      <c r="M1025" s="335"/>
      <c r="N1025" s="217"/>
      <c r="O1025" s="218"/>
      <c r="P1025" s="218"/>
    </row>
    <row r="1026" spans="1:16" s="23" customFormat="1">
      <c r="A1026" s="68"/>
      <c r="B1026" s="72" t="s">
        <v>31</v>
      </c>
      <c r="C1026" s="60"/>
      <c r="D1026" s="68"/>
      <c r="E1026" s="74"/>
      <c r="F1026" s="140"/>
      <c r="G1026" s="141"/>
      <c r="H1026" s="66">
        <f t="shared" si="202"/>
        <v>0</v>
      </c>
      <c r="I1026" s="113"/>
      <c r="J1026" s="275"/>
      <c r="K1026" s="7"/>
      <c r="L1026" s="334"/>
      <c r="M1026" s="335"/>
      <c r="N1026" s="217"/>
      <c r="O1026" s="218"/>
      <c r="P1026" s="218"/>
    </row>
    <row r="1027" spans="1:16" s="9" customFormat="1" ht="15.75" customHeight="1">
      <c r="A1027" s="68"/>
      <c r="B1027" s="72" t="s">
        <v>32</v>
      </c>
      <c r="C1027" s="60"/>
      <c r="D1027" s="68"/>
      <c r="E1027" s="74"/>
      <c r="F1027" s="140"/>
      <c r="G1027" s="141"/>
      <c r="H1027" s="66">
        <f t="shared" si="202"/>
        <v>0</v>
      </c>
      <c r="I1027" s="113"/>
      <c r="J1027" s="275"/>
      <c r="K1027" s="7"/>
      <c r="M1027" s="259"/>
      <c r="N1027" s="63"/>
      <c r="O1027" s="56"/>
      <c r="P1027" s="56"/>
    </row>
    <row r="1028" spans="1:16" s="9" customFormat="1">
      <c r="A1028" s="68"/>
      <c r="B1028" s="72" t="s">
        <v>33</v>
      </c>
      <c r="C1028" s="60"/>
      <c r="D1028" s="68"/>
      <c r="E1028" s="74"/>
      <c r="F1028" s="140"/>
      <c r="G1028" s="141"/>
      <c r="H1028" s="66">
        <f t="shared" si="202"/>
        <v>0</v>
      </c>
      <c r="I1028" s="140"/>
      <c r="J1028" s="275"/>
      <c r="K1028" s="7"/>
      <c r="M1028" s="259"/>
      <c r="N1028" s="63"/>
      <c r="O1028" s="56"/>
      <c r="P1028" s="56"/>
    </row>
    <row r="1029" spans="1:16" s="9" customFormat="1" ht="38.25">
      <c r="A1029" s="68">
        <v>3</v>
      </c>
      <c r="B1029" s="219" t="s">
        <v>325</v>
      </c>
      <c r="C1029" s="60" t="s">
        <v>309</v>
      </c>
      <c r="D1029" s="68"/>
      <c r="E1029" s="74"/>
      <c r="F1029" s="140"/>
      <c r="G1029" s="140"/>
      <c r="H1029" s="113"/>
      <c r="I1029" s="113"/>
      <c r="J1029" s="275"/>
      <c r="K1029" s="7"/>
      <c r="M1029" s="275"/>
      <c r="N1029" s="63"/>
      <c r="O1029" s="56"/>
      <c r="P1029" s="56"/>
    </row>
    <row r="1030" spans="1:16" s="9" customFormat="1">
      <c r="A1030" s="68"/>
      <c r="B1030" s="72" t="s">
        <v>86</v>
      </c>
      <c r="C1030" s="60"/>
      <c r="D1030" s="68"/>
      <c r="E1030" s="74"/>
      <c r="F1030" s="140"/>
      <c r="G1030" s="140"/>
      <c r="H1030" s="66">
        <f t="shared" ref="H1030:H1035" si="203">I1030+J1030</f>
        <v>0</v>
      </c>
      <c r="I1030" s="113"/>
      <c r="J1030" s="275"/>
      <c r="K1030" s="7"/>
      <c r="M1030" s="259"/>
      <c r="N1030" s="63"/>
      <c r="O1030" s="56"/>
      <c r="P1030" s="56"/>
    </row>
    <row r="1031" spans="1:16" s="9" customFormat="1">
      <c r="A1031" s="68"/>
      <c r="B1031" s="72" t="s">
        <v>85</v>
      </c>
      <c r="C1031" s="60"/>
      <c r="D1031" s="68"/>
      <c r="E1031" s="74"/>
      <c r="F1031" s="140"/>
      <c r="G1031" s="141"/>
      <c r="H1031" s="66">
        <f t="shared" si="203"/>
        <v>10000</v>
      </c>
      <c r="I1031" s="113">
        <v>10000</v>
      </c>
      <c r="J1031" s="275"/>
      <c r="K1031" s="7"/>
      <c r="M1031" s="259"/>
      <c r="N1031" s="63"/>
      <c r="O1031" s="56"/>
      <c r="P1031" s="56"/>
    </row>
    <row r="1032" spans="1:16" s="9" customFormat="1">
      <c r="A1032" s="68"/>
      <c r="B1032" s="72" t="s">
        <v>87</v>
      </c>
      <c r="C1032" s="60"/>
      <c r="D1032" s="68"/>
      <c r="E1032" s="74"/>
      <c r="F1032" s="140"/>
      <c r="G1032" s="141"/>
      <c r="H1032" s="66">
        <f t="shared" si="203"/>
        <v>0</v>
      </c>
      <c r="I1032" s="113"/>
      <c r="J1032" s="275"/>
      <c r="K1032" s="7"/>
      <c r="M1032" s="259"/>
      <c r="N1032" s="63"/>
      <c r="O1032" s="56"/>
      <c r="P1032" s="56"/>
    </row>
    <row r="1033" spans="1:16" s="9" customFormat="1">
      <c r="A1033" s="68"/>
      <c r="B1033" s="72" t="s">
        <v>31</v>
      </c>
      <c r="C1033" s="60"/>
      <c r="D1033" s="68"/>
      <c r="E1033" s="74"/>
      <c r="F1033" s="140"/>
      <c r="G1033" s="141"/>
      <c r="H1033" s="66">
        <f t="shared" si="203"/>
        <v>161000</v>
      </c>
      <c r="I1033" s="113">
        <v>161000</v>
      </c>
      <c r="J1033" s="275"/>
      <c r="K1033" s="7"/>
      <c r="M1033" s="259"/>
      <c r="N1033" s="63"/>
      <c r="O1033" s="56"/>
      <c r="P1033" s="56"/>
    </row>
    <row r="1034" spans="1:16" s="9" customFormat="1">
      <c r="A1034" s="68"/>
      <c r="B1034" s="72" t="s">
        <v>32</v>
      </c>
      <c r="C1034" s="60"/>
      <c r="D1034" s="68"/>
      <c r="E1034" s="74"/>
      <c r="F1034" s="140"/>
      <c r="G1034" s="141"/>
      <c r="H1034" s="66">
        <f t="shared" si="203"/>
        <v>0</v>
      </c>
      <c r="I1034" s="113"/>
      <c r="J1034" s="275"/>
      <c r="K1034" s="7"/>
      <c r="M1034" s="259"/>
      <c r="N1034" s="63"/>
      <c r="O1034" s="56"/>
      <c r="P1034" s="56"/>
    </row>
    <row r="1035" spans="1:16" s="22" customFormat="1">
      <c r="A1035" s="68"/>
      <c r="B1035" s="72" t="s">
        <v>33</v>
      </c>
      <c r="C1035" s="60"/>
      <c r="D1035" s="68"/>
      <c r="E1035" s="74"/>
      <c r="F1035" s="140"/>
      <c r="G1035" s="141"/>
      <c r="H1035" s="66">
        <f t="shared" si="203"/>
        <v>0</v>
      </c>
      <c r="I1035" s="140"/>
      <c r="J1035" s="275"/>
      <c r="K1035" s="7"/>
      <c r="L1035" s="334"/>
      <c r="M1035" s="335"/>
      <c r="N1035" s="217"/>
      <c r="O1035" s="218"/>
      <c r="P1035" s="218"/>
    </row>
    <row r="1036" spans="1:16" s="23" customFormat="1">
      <c r="A1036" s="31"/>
      <c r="B1036" s="44" t="s">
        <v>222</v>
      </c>
      <c r="C1036" s="343"/>
      <c r="D1036" s="46"/>
      <c r="E1036" s="47"/>
      <c r="F1036" s="47"/>
      <c r="G1036" s="47"/>
      <c r="H1036" s="48"/>
      <c r="I1036" s="49"/>
      <c r="J1036" s="286"/>
      <c r="K1036" s="269"/>
      <c r="L1036" s="334"/>
      <c r="M1036" s="286"/>
      <c r="N1036" s="217"/>
      <c r="O1036" s="218"/>
      <c r="P1036" s="218"/>
    </row>
    <row r="1037" spans="1:16" s="23" customFormat="1">
      <c r="A1037" s="31"/>
      <c r="B1037" s="44" t="s">
        <v>86</v>
      </c>
      <c r="C1037" s="343"/>
      <c r="D1037" s="46"/>
      <c r="E1037" s="47"/>
      <c r="F1037" s="47"/>
      <c r="G1037" s="47"/>
      <c r="H1037" s="49">
        <f t="shared" ref="H1037:H1042" si="204">H1016+H1023+H1030</f>
        <v>1210000</v>
      </c>
      <c r="I1037" s="49">
        <f t="shared" ref="I1037:I1042" si="205">I1016+I1023+I1030</f>
        <v>1210000</v>
      </c>
      <c r="J1037" s="286">
        <f>J1016+J1023+J1030</f>
        <v>0</v>
      </c>
      <c r="K1037" s="286">
        <f t="shared" ref="K1037:K1042" si="206">K1016+K1023</f>
        <v>0</v>
      </c>
      <c r="L1037" s="334"/>
      <c r="M1037" s="286"/>
      <c r="N1037" s="217"/>
      <c r="O1037" s="218"/>
      <c r="P1037" s="218"/>
    </row>
    <row r="1038" spans="1:16" s="23" customFormat="1">
      <c r="A1038" s="31"/>
      <c r="B1038" s="44" t="s">
        <v>85</v>
      </c>
      <c r="C1038" s="343"/>
      <c r="D1038" s="46"/>
      <c r="E1038" s="46"/>
      <c r="F1038" s="47"/>
      <c r="G1038" s="47"/>
      <c r="H1038" s="49">
        <f t="shared" si="204"/>
        <v>280000</v>
      </c>
      <c r="I1038" s="49">
        <f t="shared" si="205"/>
        <v>280000</v>
      </c>
      <c r="J1038" s="286">
        <f t="shared" ref="J1038:J1042" si="207">J1017+J1024+J1031</f>
        <v>0</v>
      </c>
      <c r="K1038" s="286">
        <f t="shared" si="206"/>
        <v>0</v>
      </c>
      <c r="L1038" s="334"/>
      <c r="M1038" s="286"/>
      <c r="N1038" s="217"/>
      <c r="O1038" s="218"/>
      <c r="P1038" s="218"/>
    </row>
    <row r="1039" spans="1:16" s="23" customFormat="1">
      <c r="A1039" s="31"/>
      <c r="B1039" s="44" t="s">
        <v>87</v>
      </c>
      <c r="C1039" s="343"/>
      <c r="D1039" s="46"/>
      <c r="E1039" s="46"/>
      <c r="F1039" s="47"/>
      <c r="G1039" s="47"/>
      <c r="H1039" s="49">
        <f t="shared" si="204"/>
        <v>66118.2</v>
      </c>
      <c r="I1039" s="49">
        <f t="shared" si="205"/>
        <v>66118.2</v>
      </c>
      <c r="J1039" s="286">
        <f t="shared" si="207"/>
        <v>0</v>
      </c>
      <c r="K1039" s="286">
        <f t="shared" si="206"/>
        <v>0</v>
      </c>
      <c r="L1039" s="334"/>
      <c r="M1039" s="286"/>
      <c r="N1039" s="217"/>
      <c r="O1039" s="218"/>
      <c r="P1039" s="218"/>
    </row>
    <row r="1040" spans="1:16" s="23" customFormat="1">
      <c r="A1040" s="31"/>
      <c r="B1040" s="44" t="s">
        <v>31</v>
      </c>
      <c r="C1040" s="343"/>
      <c r="D1040" s="46"/>
      <c r="E1040" s="46"/>
      <c r="F1040" s="47"/>
      <c r="G1040" s="47"/>
      <c r="H1040" s="49">
        <f t="shared" si="204"/>
        <v>161000</v>
      </c>
      <c r="I1040" s="49">
        <f t="shared" si="205"/>
        <v>161000</v>
      </c>
      <c r="J1040" s="286">
        <f t="shared" si="207"/>
        <v>0</v>
      </c>
      <c r="K1040" s="286">
        <f t="shared" si="206"/>
        <v>0</v>
      </c>
      <c r="L1040" s="334"/>
      <c r="M1040" s="286"/>
      <c r="N1040" s="217"/>
      <c r="O1040" s="218"/>
      <c r="P1040" s="218"/>
    </row>
    <row r="1041" spans="1:16" s="23" customFormat="1">
      <c r="A1041" s="31"/>
      <c r="B1041" s="44" t="s">
        <v>32</v>
      </c>
      <c r="C1041" s="343"/>
      <c r="D1041" s="46"/>
      <c r="E1041" s="46"/>
      <c r="F1041" s="47"/>
      <c r="G1041" s="47"/>
      <c r="H1041" s="49">
        <f t="shared" si="204"/>
        <v>0</v>
      </c>
      <c r="I1041" s="49">
        <f t="shared" si="205"/>
        <v>0</v>
      </c>
      <c r="J1041" s="286">
        <f t="shared" si="207"/>
        <v>0</v>
      </c>
      <c r="K1041" s="286">
        <f t="shared" si="206"/>
        <v>0</v>
      </c>
      <c r="L1041" s="334"/>
      <c r="M1041" s="286"/>
      <c r="N1041" s="217"/>
      <c r="O1041" s="218"/>
      <c r="P1041" s="218"/>
    </row>
    <row r="1042" spans="1:16" s="9" customFormat="1">
      <c r="A1042" s="31"/>
      <c r="B1042" s="44" t="s">
        <v>33</v>
      </c>
      <c r="C1042" s="343"/>
      <c r="D1042" s="46"/>
      <c r="E1042" s="46"/>
      <c r="F1042" s="47"/>
      <c r="G1042" s="47"/>
      <c r="H1042" s="49">
        <f t="shared" si="204"/>
        <v>0</v>
      </c>
      <c r="I1042" s="49">
        <f t="shared" si="205"/>
        <v>0</v>
      </c>
      <c r="J1042" s="286">
        <f t="shared" si="207"/>
        <v>0</v>
      </c>
      <c r="K1042" s="286">
        <f t="shared" si="206"/>
        <v>0</v>
      </c>
      <c r="M1042" s="286"/>
      <c r="N1042" s="63"/>
      <c r="O1042" s="56"/>
      <c r="P1042" s="56"/>
    </row>
    <row r="1043" spans="1:16" s="9" customFormat="1" ht="31.5">
      <c r="A1043" s="73"/>
      <c r="B1043" s="67" t="s">
        <v>16</v>
      </c>
      <c r="C1043" s="346"/>
      <c r="D1043" s="134"/>
      <c r="E1043" s="134"/>
      <c r="F1043" s="134"/>
      <c r="G1043" s="136"/>
      <c r="H1043" s="137"/>
      <c r="I1043" s="137"/>
      <c r="J1043" s="287"/>
      <c r="K1043" s="7"/>
      <c r="M1043" s="259"/>
      <c r="N1043" s="63"/>
      <c r="O1043" s="56"/>
      <c r="P1043" s="56"/>
    </row>
    <row r="1044" spans="1:16" s="9" customFormat="1" ht="51">
      <c r="A1044" s="68">
        <v>1</v>
      </c>
      <c r="B1044" s="219" t="s">
        <v>333</v>
      </c>
      <c r="C1044" s="60" t="s">
        <v>21</v>
      </c>
      <c r="D1044" s="68" t="s">
        <v>129</v>
      </c>
      <c r="E1044" s="74"/>
      <c r="F1044" s="140"/>
      <c r="G1044" s="140">
        <v>32300</v>
      </c>
      <c r="H1044" s="113"/>
      <c r="I1044" s="113"/>
      <c r="J1044" s="275"/>
      <c r="K1044" s="7"/>
      <c r="M1044" s="275"/>
      <c r="N1044" s="63"/>
      <c r="O1044" s="56"/>
      <c r="P1044" s="56"/>
    </row>
    <row r="1045" spans="1:16" s="9" customFormat="1">
      <c r="A1045" s="161"/>
      <c r="B1045" s="162" t="s">
        <v>215</v>
      </c>
      <c r="C1045" s="239"/>
      <c r="D1045" s="163"/>
      <c r="E1045" s="51"/>
      <c r="F1045" s="51"/>
      <c r="G1045" s="165"/>
      <c r="H1045" s="165"/>
      <c r="I1045" s="171"/>
      <c r="J1045" s="301"/>
      <c r="K1045" s="301"/>
      <c r="M1045" s="259"/>
      <c r="N1045" s="63"/>
      <c r="O1045" s="56"/>
      <c r="P1045" s="56"/>
    </row>
    <row r="1046" spans="1:16" s="9" customFormat="1">
      <c r="A1046" s="161"/>
      <c r="B1046" s="162" t="s">
        <v>216</v>
      </c>
      <c r="C1046" s="239"/>
      <c r="D1046" s="163"/>
      <c r="E1046" s="51"/>
      <c r="F1046" s="51"/>
      <c r="G1046" s="165"/>
      <c r="H1046" s="165"/>
      <c r="I1046" s="171"/>
      <c r="J1046" s="301"/>
      <c r="K1046" s="301"/>
      <c r="M1046" s="259"/>
      <c r="N1046" s="63"/>
      <c r="O1046" s="56"/>
      <c r="P1046" s="56"/>
    </row>
    <row r="1047" spans="1:16" s="9" customFormat="1">
      <c r="A1047" s="161"/>
      <c r="B1047" s="162" t="s">
        <v>217</v>
      </c>
      <c r="C1047" s="239"/>
      <c r="D1047" s="163"/>
      <c r="E1047" s="51"/>
      <c r="F1047" s="51"/>
      <c r="G1047" s="51"/>
      <c r="H1047" s="51"/>
      <c r="I1047" s="171"/>
      <c r="J1047" s="301"/>
      <c r="K1047" s="301"/>
      <c r="M1047" s="259"/>
      <c r="N1047" s="63"/>
      <c r="O1047" s="56"/>
      <c r="P1047" s="56"/>
    </row>
    <row r="1048" spans="1:16" s="24" customFormat="1">
      <c r="A1048" s="161"/>
      <c r="B1048" s="162" t="s">
        <v>31</v>
      </c>
      <c r="C1048" s="239"/>
      <c r="D1048" s="163"/>
      <c r="E1048" s="51"/>
      <c r="F1048" s="51"/>
      <c r="G1048" s="51"/>
      <c r="H1048" s="164"/>
      <c r="I1048" s="164"/>
      <c r="J1048" s="301"/>
      <c r="K1048" s="301"/>
      <c r="L1048" s="9"/>
      <c r="M1048" s="259"/>
      <c r="N1048" s="63"/>
      <c r="O1048" s="56"/>
      <c r="P1048" s="56"/>
    </row>
    <row r="1049" spans="1:16" s="24" customFormat="1">
      <c r="A1049" s="161"/>
      <c r="B1049" s="162" t="s">
        <v>32</v>
      </c>
      <c r="C1049" s="239">
        <v>540</v>
      </c>
      <c r="D1049" s="163"/>
      <c r="E1049" s="51"/>
      <c r="F1049" s="51"/>
      <c r="G1049" s="51"/>
      <c r="H1049" s="164">
        <f>I1049</f>
        <v>44046.04</v>
      </c>
      <c r="I1049" s="164">
        <v>44046.04</v>
      </c>
      <c r="J1049" s="301"/>
      <c r="K1049" s="301"/>
      <c r="L1049" s="9"/>
      <c r="M1049" s="259"/>
      <c r="N1049" s="63"/>
      <c r="O1049" s="56"/>
      <c r="P1049" s="56"/>
    </row>
    <row r="1050" spans="1:16" s="24" customFormat="1">
      <c r="A1050" s="220"/>
      <c r="B1050" s="162" t="s">
        <v>33</v>
      </c>
      <c r="C1050" s="239"/>
      <c r="D1050" s="163"/>
      <c r="E1050" s="51"/>
      <c r="F1050" s="51"/>
      <c r="G1050" s="51"/>
      <c r="H1050" s="51"/>
      <c r="I1050" s="51"/>
      <c r="J1050" s="301"/>
      <c r="K1050" s="301"/>
      <c r="L1050" s="9"/>
      <c r="M1050" s="259"/>
      <c r="N1050" s="63"/>
      <c r="O1050" s="56"/>
      <c r="P1050" s="56"/>
    </row>
    <row r="1051" spans="1:16" s="9" customFormat="1" ht="51">
      <c r="A1051" s="68">
        <v>2</v>
      </c>
      <c r="B1051" s="219" t="s">
        <v>328</v>
      </c>
      <c r="C1051" s="60" t="s">
        <v>21</v>
      </c>
      <c r="D1051" s="68" t="s">
        <v>22</v>
      </c>
      <c r="E1051" s="74"/>
      <c r="F1051" s="140"/>
      <c r="G1051" s="140">
        <v>57556</v>
      </c>
      <c r="H1051" s="113"/>
      <c r="I1051" s="113"/>
      <c r="J1051" s="275"/>
      <c r="K1051" s="7"/>
      <c r="M1051" s="275"/>
      <c r="N1051" s="63"/>
      <c r="O1051" s="56"/>
      <c r="P1051" s="56"/>
    </row>
    <row r="1052" spans="1:16" s="24" customFormat="1">
      <c r="A1052" s="220"/>
      <c r="B1052" s="162" t="s">
        <v>215</v>
      </c>
      <c r="C1052" s="239"/>
      <c r="D1052" s="163"/>
      <c r="E1052" s="165"/>
      <c r="F1052" s="165"/>
      <c r="G1052" s="165"/>
      <c r="H1052" s="165"/>
      <c r="I1052" s="221"/>
      <c r="J1052" s="336"/>
      <c r="K1052" s="336"/>
      <c r="L1052" s="9"/>
      <c r="M1052" s="259"/>
      <c r="N1052" s="63"/>
      <c r="O1052" s="56"/>
      <c r="P1052" s="56"/>
    </row>
    <row r="1053" spans="1:16" s="24" customFormat="1">
      <c r="A1053" s="220"/>
      <c r="B1053" s="162" t="s">
        <v>216</v>
      </c>
      <c r="C1053" s="239"/>
      <c r="D1053" s="163"/>
      <c r="E1053" s="165"/>
      <c r="F1053" s="165"/>
      <c r="G1053" s="165"/>
      <c r="H1053" s="165"/>
      <c r="I1053" s="221"/>
      <c r="J1053" s="336"/>
      <c r="K1053" s="336"/>
      <c r="L1053" s="9"/>
      <c r="M1053" s="259"/>
      <c r="N1053" s="63"/>
      <c r="O1053" s="56"/>
      <c r="P1053" s="56"/>
    </row>
    <row r="1054" spans="1:16">
      <c r="A1054" s="220"/>
      <c r="B1054" s="162" t="s">
        <v>217</v>
      </c>
      <c r="C1054" s="239"/>
      <c r="D1054" s="163"/>
      <c r="E1054" s="165"/>
      <c r="F1054" s="165"/>
      <c r="G1054" s="165"/>
      <c r="H1054" s="165"/>
      <c r="I1054" s="221"/>
      <c r="J1054" s="336"/>
      <c r="K1054" s="336"/>
      <c r="M1054" s="259"/>
      <c r="N1054" s="63"/>
      <c r="O1054" s="56"/>
      <c r="P1054" s="56"/>
    </row>
    <row r="1055" spans="1:16">
      <c r="A1055" s="220"/>
      <c r="B1055" s="162" t="s">
        <v>31</v>
      </c>
      <c r="C1055" s="239"/>
      <c r="D1055" s="163"/>
      <c r="E1055" s="51"/>
      <c r="F1055" s="51"/>
      <c r="G1055" s="51"/>
      <c r="H1055" s="164"/>
      <c r="I1055" s="164"/>
      <c r="J1055" s="314"/>
      <c r="K1055" s="301"/>
      <c r="M1055" s="259"/>
      <c r="N1055" s="63"/>
      <c r="O1055" s="56"/>
      <c r="P1055" s="56"/>
    </row>
    <row r="1056" spans="1:16">
      <c r="A1056" s="220"/>
      <c r="B1056" s="162" t="s">
        <v>32</v>
      </c>
      <c r="C1056" s="239">
        <v>1008</v>
      </c>
      <c r="D1056" s="163"/>
      <c r="E1056" s="51"/>
      <c r="F1056" s="51"/>
      <c r="G1056" s="51"/>
      <c r="H1056" s="164">
        <f>I1056</f>
        <v>78486.490000000005</v>
      </c>
      <c r="I1056" s="164">
        <v>78486.490000000005</v>
      </c>
      <c r="J1056" s="301"/>
      <c r="K1056" s="301"/>
      <c r="M1056" s="259"/>
      <c r="N1056" s="63"/>
      <c r="O1056" s="56"/>
      <c r="P1056" s="56"/>
    </row>
    <row r="1057" spans="1:16">
      <c r="A1057" s="220"/>
      <c r="B1057" s="162" t="s">
        <v>33</v>
      </c>
      <c r="C1057" s="239"/>
      <c r="D1057" s="163"/>
      <c r="E1057" s="51"/>
      <c r="F1057" s="51"/>
      <c r="G1057" s="51"/>
      <c r="H1057" s="51"/>
      <c r="I1057" s="51"/>
      <c r="J1057" s="301"/>
      <c r="K1057" s="301"/>
      <c r="M1057" s="259"/>
      <c r="N1057" s="63"/>
      <c r="O1057" s="56"/>
      <c r="P1057" s="56"/>
    </row>
    <row r="1058" spans="1:16" s="9" customFormat="1" ht="38.25">
      <c r="A1058" s="68">
        <v>3</v>
      </c>
      <c r="B1058" s="219" t="s">
        <v>331</v>
      </c>
      <c r="C1058" s="60" t="s">
        <v>21</v>
      </c>
      <c r="D1058" s="68" t="s">
        <v>57</v>
      </c>
      <c r="E1058" s="74"/>
      <c r="F1058" s="140"/>
      <c r="G1058" s="140">
        <v>57556</v>
      </c>
      <c r="H1058" s="113"/>
      <c r="I1058" s="113"/>
      <c r="J1058" s="275"/>
      <c r="K1058" s="7"/>
      <c r="M1058" s="275"/>
      <c r="N1058" s="63"/>
      <c r="O1058" s="56"/>
      <c r="P1058" s="56"/>
    </row>
    <row r="1059" spans="1:16">
      <c r="A1059" s="220"/>
      <c r="B1059" s="162" t="s">
        <v>215</v>
      </c>
      <c r="C1059" s="239"/>
      <c r="D1059" s="163"/>
      <c r="E1059" s="51"/>
      <c r="F1059" s="51"/>
      <c r="G1059" s="51"/>
      <c r="H1059" s="51"/>
      <c r="I1059" s="51"/>
      <c r="J1059" s="301"/>
      <c r="K1059" s="301"/>
      <c r="M1059" s="259"/>
      <c r="N1059" s="63"/>
      <c r="O1059" s="56"/>
      <c r="P1059" s="56"/>
    </row>
    <row r="1060" spans="1:16">
      <c r="A1060" s="220"/>
      <c r="B1060" s="162" t="s">
        <v>216</v>
      </c>
      <c r="C1060" s="239"/>
      <c r="D1060" s="163"/>
      <c r="E1060" s="51"/>
      <c r="F1060" s="51"/>
      <c r="G1060" s="165"/>
      <c r="H1060" s="165"/>
      <c r="I1060" s="51"/>
      <c r="J1060" s="301"/>
      <c r="K1060" s="301"/>
      <c r="M1060" s="259"/>
      <c r="N1060" s="63"/>
      <c r="O1060" s="56"/>
      <c r="P1060" s="56"/>
    </row>
    <row r="1061" spans="1:16">
      <c r="A1061" s="220"/>
      <c r="B1061" s="162" t="s">
        <v>217</v>
      </c>
      <c r="C1061" s="239"/>
      <c r="D1061" s="163"/>
      <c r="E1061" s="51"/>
      <c r="F1061" s="51"/>
      <c r="G1061" s="165"/>
      <c r="H1061" s="165"/>
      <c r="I1061" s="171"/>
      <c r="J1061" s="301"/>
      <c r="K1061" s="301"/>
      <c r="M1061" s="259"/>
      <c r="N1061" s="63"/>
      <c r="O1061" s="56"/>
      <c r="P1061" s="56"/>
    </row>
    <row r="1062" spans="1:16">
      <c r="A1062" s="220"/>
      <c r="B1062" s="162" t="s">
        <v>31</v>
      </c>
      <c r="C1062" s="239"/>
      <c r="D1062" s="163"/>
      <c r="E1062" s="51"/>
      <c r="F1062" s="51"/>
      <c r="G1062" s="51"/>
      <c r="H1062" s="51"/>
      <c r="I1062" s="171"/>
      <c r="J1062" s="301"/>
      <c r="K1062" s="301"/>
      <c r="M1062" s="259"/>
      <c r="N1062" s="63"/>
      <c r="O1062" s="56"/>
      <c r="P1062" s="56"/>
    </row>
    <row r="1063" spans="1:16">
      <c r="A1063" s="220"/>
      <c r="B1063" s="162" t="s">
        <v>32</v>
      </c>
      <c r="C1063" s="239"/>
      <c r="D1063" s="163"/>
      <c r="E1063" s="51"/>
      <c r="F1063" s="51"/>
      <c r="G1063" s="51"/>
      <c r="H1063" s="51"/>
      <c r="I1063" s="171"/>
      <c r="J1063" s="301"/>
      <c r="K1063" s="301"/>
      <c r="M1063" s="259"/>
      <c r="N1063" s="63"/>
      <c r="O1063" s="56"/>
      <c r="P1063" s="56"/>
    </row>
    <row r="1064" spans="1:16">
      <c r="A1064" s="220"/>
      <c r="B1064" s="162" t="s">
        <v>33</v>
      </c>
      <c r="C1064" s="239">
        <v>1008</v>
      </c>
      <c r="D1064" s="163"/>
      <c r="E1064" s="51"/>
      <c r="F1064" s="51"/>
      <c r="G1064" s="51"/>
      <c r="H1064" s="164">
        <v>83431.14</v>
      </c>
      <c r="I1064" s="222">
        <v>83431.14</v>
      </c>
      <c r="J1064" s="301"/>
      <c r="K1064" s="301"/>
      <c r="M1064" s="259"/>
      <c r="N1064" s="63"/>
      <c r="O1064" s="56"/>
      <c r="P1064" s="56"/>
    </row>
    <row r="1065" spans="1:16" s="9" customFormat="1" ht="45.75" customHeight="1">
      <c r="A1065" s="68">
        <v>4</v>
      </c>
      <c r="B1065" s="219" t="s">
        <v>90</v>
      </c>
      <c r="C1065" s="60" t="s">
        <v>337</v>
      </c>
      <c r="D1065" s="68" t="s">
        <v>88</v>
      </c>
      <c r="E1065" s="74"/>
      <c r="F1065" s="140"/>
      <c r="G1065" s="140">
        <v>57556</v>
      </c>
      <c r="H1065" s="113"/>
      <c r="I1065" s="113"/>
      <c r="J1065" s="275"/>
      <c r="K1065" s="7"/>
      <c r="M1065" s="275"/>
      <c r="N1065" s="63"/>
      <c r="O1065" s="56"/>
      <c r="P1065" s="56"/>
    </row>
    <row r="1066" spans="1:16">
      <c r="A1066" s="220"/>
      <c r="B1066" s="162" t="s">
        <v>215</v>
      </c>
      <c r="C1066" s="239"/>
      <c r="D1066" s="163"/>
      <c r="E1066" s="51"/>
      <c r="F1066" s="51"/>
      <c r="G1066" s="51"/>
      <c r="H1066" s="51"/>
      <c r="I1066" s="171"/>
      <c r="J1066" s="301"/>
      <c r="K1066" s="301"/>
      <c r="M1066" s="259"/>
      <c r="N1066" s="63"/>
      <c r="O1066" s="56"/>
      <c r="P1066" s="56"/>
    </row>
    <row r="1067" spans="1:16">
      <c r="A1067" s="220"/>
      <c r="B1067" s="162" t="s">
        <v>216</v>
      </c>
      <c r="C1067" s="239"/>
      <c r="D1067" s="163"/>
      <c r="E1067" s="51"/>
      <c r="F1067" s="51"/>
      <c r="G1067" s="51"/>
      <c r="H1067" s="51"/>
      <c r="I1067" s="171"/>
      <c r="J1067" s="301"/>
      <c r="K1067" s="301"/>
      <c r="M1067" s="259"/>
      <c r="N1067" s="63"/>
      <c r="O1067" s="56"/>
      <c r="P1067" s="56"/>
    </row>
    <row r="1068" spans="1:16">
      <c r="A1068" s="220"/>
      <c r="B1068" s="162" t="s">
        <v>217</v>
      </c>
      <c r="C1068" s="239"/>
      <c r="D1068" s="163"/>
      <c r="E1068" s="51"/>
      <c r="F1068" s="51"/>
      <c r="G1068" s="51"/>
      <c r="H1068" s="165"/>
      <c r="I1068" s="171"/>
      <c r="J1068" s="301"/>
      <c r="K1068" s="301"/>
      <c r="M1068" s="259"/>
      <c r="N1068" s="63"/>
      <c r="O1068" s="56"/>
      <c r="P1068" s="56"/>
    </row>
    <row r="1069" spans="1:16">
      <c r="A1069" s="220"/>
      <c r="B1069" s="162" t="s">
        <v>31</v>
      </c>
      <c r="C1069" s="239"/>
      <c r="D1069" s="163"/>
      <c r="E1069" s="51"/>
      <c r="F1069" s="51"/>
      <c r="G1069" s="51"/>
      <c r="H1069" s="223"/>
      <c r="I1069" s="222"/>
      <c r="J1069" s="301"/>
      <c r="K1069" s="301"/>
      <c r="M1069" s="259"/>
      <c r="N1069" s="63"/>
      <c r="O1069" s="56"/>
      <c r="P1069" s="56"/>
    </row>
    <row r="1070" spans="1:16">
      <c r="A1070" s="220"/>
      <c r="B1070" s="162" t="s">
        <v>32</v>
      </c>
      <c r="C1070" s="239"/>
      <c r="D1070" s="163"/>
      <c r="E1070" s="51"/>
      <c r="F1070" s="51"/>
      <c r="G1070" s="51"/>
      <c r="H1070" s="51"/>
      <c r="I1070" s="171"/>
      <c r="J1070" s="301"/>
      <c r="K1070" s="301"/>
      <c r="M1070" s="259"/>
      <c r="N1070" s="63"/>
      <c r="O1070" s="56"/>
      <c r="P1070" s="56"/>
    </row>
    <row r="1071" spans="1:16">
      <c r="A1071" s="220"/>
      <c r="B1071" s="162" t="s">
        <v>33</v>
      </c>
      <c r="C1071" s="239">
        <v>1008</v>
      </c>
      <c r="D1071" s="163"/>
      <c r="E1071" s="51"/>
      <c r="F1071" s="51"/>
      <c r="G1071" s="51"/>
      <c r="H1071" s="164">
        <v>83431.14</v>
      </c>
      <c r="I1071" s="164">
        <v>83431.14</v>
      </c>
      <c r="J1071" s="306"/>
      <c r="K1071" s="301"/>
      <c r="M1071" s="259"/>
      <c r="N1071" s="63"/>
      <c r="O1071" s="56"/>
      <c r="P1071" s="56"/>
    </row>
    <row r="1072" spans="1:16" s="9" customFormat="1" ht="38.25">
      <c r="A1072" s="68">
        <v>5</v>
      </c>
      <c r="B1072" s="219" t="s">
        <v>374</v>
      </c>
      <c r="C1072" s="60" t="s">
        <v>21</v>
      </c>
      <c r="D1072" s="68" t="s">
        <v>308</v>
      </c>
      <c r="E1072" s="74"/>
      <c r="F1072" s="140"/>
      <c r="G1072" s="140">
        <v>110663.8</v>
      </c>
      <c r="H1072" s="113"/>
      <c r="I1072" s="113"/>
      <c r="J1072" s="275"/>
      <c r="K1072" s="7"/>
      <c r="M1072" s="275"/>
      <c r="N1072" s="63"/>
      <c r="O1072" s="56"/>
      <c r="P1072" s="56"/>
    </row>
    <row r="1073" spans="1:16">
      <c r="A1073" s="220"/>
      <c r="B1073" s="162" t="s">
        <v>215</v>
      </c>
      <c r="C1073" s="239"/>
      <c r="D1073" s="163"/>
      <c r="E1073" s="165"/>
      <c r="F1073" s="165"/>
      <c r="G1073" s="165"/>
      <c r="H1073" s="224">
        <v>2780</v>
      </c>
      <c r="I1073" s="224">
        <v>2780</v>
      </c>
      <c r="J1073" s="301"/>
      <c r="K1073" s="301"/>
      <c r="M1073" s="259"/>
      <c r="N1073" s="63"/>
      <c r="O1073" s="56"/>
      <c r="P1073" s="56"/>
    </row>
    <row r="1074" spans="1:16">
      <c r="A1074" s="220"/>
      <c r="B1074" s="162" t="s">
        <v>216</v>
      </c>
      <c r="C1074" s="239"/>
      <c r="D1074" s="163"/>
      <c r="E1074" s="165"/>
      <c r="F1074" s="165"/>
      <c r="G1074" s="165"/>
      <c r="H1074" s="165">
        <f>I1074</f>
        <v>23410</v>
      </c>
      <c r="I1074" s="51">
        <v>23410</v>
      </c>
      <c r="J1074" s="301"/>
      <c r="K1074" s="301"/>
      <c r="M1074" s="259"/>
      <c r="N1074" s="63"/>
      <c r="O1074" s="56"/>
      <c r="P1074" s="56"/>
    </row>
    <row r="1075" spans="1:16">
      <c r="A1075" s="220"/>
      <c r="B1075" s="162" t="s">
        <v>217</v>
      </c>
      <c r="C1075" s="239">
        <v>1008</v>
      </c>
      <c r="D1075" s="163"/>
      <c r="E1075" s="165"/>
      <c r="F1075" s="165"/>
      <c r="G1075" s="165"/>
      <c r="H1075" s="165">
        <f>I1075</f>
        <v>0</v>
      </c>
      <c r="I1075" s="51"/>
      <c r="J1075" s="301"/>
      <c r="K1075" s="301"/>
      <c r="M1075" s="259"/>
      <c r="N1075" s="63"/>
      <c r="O1075" s="56"/>
      <c r="P1075" s="56"/>
    </row>
    <row r="1076" spans="1:16">
      <c r="A1076" s="220"/>
      <c r="B1076" s="162" t="s">
        <v>31</v>
      </c>
      <c r="C1076" s="239"/>
      <c r="D1076" s="163"/>
      <c r="E1076" s="51"/>
      <c r="F1076" s="51"/>
      <c r="G1076" s="51"/>
      <c r="H1076" s="51"/>
      <c r="I1076" s="51"/>
      <c r="J1076" s="301"/>
      <c r="K1076" s="301"/>
      <c r="M1076" s="259"/>
      <c r="N1076" s="63"/>
      <c r="O1076" s="56"/>
      <c r="P1076" s="56"/>
    </row>
    <row r="1077" spans="1:16">
      <c r="A1077" s="220"/>
      <c r="B1077" s="162" t="s">
        <v>32</v>
      </c>
      <c r="C1077" s="239"/>
      <c r="D1077" s="163"/>
      <c r="E1077" s="51"/>
      <c r="F1077" s="51"/>
      <c r="G1077" s="51"/>
      <c r="H1077" s="51"/>
      <c r="I1077" s="51"/>
      <c r="J1077" s="301"/>
      <c r="K1077" s="301"/>
      <c r="M1077" s="259"/>
      <c r="N1077" s="63"/>
      <c r="O1077" s="56"/>
      <c r="P1077" s="56"/>
    </row>
    <row r="1078" spans="1:16">
      <c r="A1078" s="220"/>
      <c r="B1078" s="162" t="s">
        <v>33</v>
      </c>
      <c r="C1078" s="239"/>
      <c r="D1078" s="163"/>
      <c r="E1078" s="51"/>
      <c r="F1078" s="51"/>
      <c r="G1078" s="51"/>
      <c r="H1078" s="51"/>
      <c r="I1078" s="51"/>
      <c r="J1078" s="301"/>
      <c r="K1078" s="301"/>
      <c r="M1078" s="259"/>
      <c r="N1078" s="63"/>
      <c r="O1078" s="56"/>
      <c r="P1078" s="56"/>
    </row>
    <row r="1079" spans="1:16" s="9" customFormat="1" ht="38.25">
      <c r="A1079" s="68">
        <v>6</v>
      </c>
      <c r="B1079" s="219" t="s">
        <v>338</v>
      </c>
      <c r="C1079" s="60" t="s">
        <v>21</v>
      </c>
      <c r="D1079" s="68" t="s">
        <v>83</v>
      </c>
      <c r="E1079" s="74"/>
      <c r="F1079" s="140"/>
      <c r="G1079" s="140"/>
      <c r="H1079" s="113"/>
      <c r="I1079" s="113"/>
      <c r="J1079" s="275"/>
      <c r="K1079" s="7"/>
      <c r="M1079" s="275"/>
      <c r="N1079" s="63"/>
      <c r="O1079" s="56"/>
      <c r="P1079" s="56"/>
    </row>
    <row r="1080" spans="1:16" s="40" customFormat="1">
      <c r="A1080" s="220"/>
      <c r="B1080" s="162" t="s">
        <v>215</v>
      </c>
      <c r="C1080" s="239"/>
      <c r="D1080" s="163"/>
      <c r="E1080" s="51"/>
      <c r="F1080" s="51"/>
      <c r="G1080" s="165"/>
      <c r="H1080" s="224"/>
      <c r="I1080" s="164"/>
      <c r="J1080" s="316"/>
      <c r="K1080" s="316"/>
      <c r="L1080" s="270"/>
      <c r="M1080" s="271"/>
      <c r="N1080" s="32"/>
      <c r="O1080" s="32"/>
      <c r="P1080" s="32"/>
    </row>
    <row r="1081" spans="1:16" s="40" customFormat="1">
      <c r="A1081" s="220"/>
      <c r="B1081" s="162" t="s">
        <v>216</v>
      </c>
      <c r="C1081" s="239"/>
      <c r="D1081" s="163"/>
      <c r="E1081" s="51"/>
      <c r="F1081" s="51"/>
      <c r="G1081" s="165"/>
      <c r="H1081" s="224">
        <v>143842</v>
      </c>
      <c r="I1081" s="224">
        <v>143842</v>
      </c>
      <c r="J1081" s="301"/>
      <c r="K1081" s="301"/>
      <c r="L1081" s="329" t="e">
        <f>#REF!+L1074+L1060</f>
        <v>#REF!</v>
      </c>
      <c r="M1081" s="286"/>
      <c r="N1081" s="33"/>
      <c r="O1081" s="32"/>
      <c r="P1081" s="32"/>
    </row>
    <row r="1082" spans="1:16" s="40" customFormat="1">
      <c r="A1082" s="220"/>
      <c r="B1082" s="162" t="s">
        <v>217</v>
      </c>
      <c r="C1082" s="239"/>
      <c r="D1082" s="163"/>
      <c r="E1082" s="51"/>
      <c r="F1082" s="51"/>
      <c r="G1082" s="51"/>
      <c r="H1082" s="224">
        <v>143842</v>
      </c>
      <c r="I1082" s="224">
        <v>143842</v>
      </c>
      <c r="J1082" s="301"/>
      <c r="K1082" s="301"/>
      <c r="L1082" s="270"/>
      <c r="M1082" s="271"/>
      <c r="N1082" s="32"/>
      <c r="O1082" s="32"/>
      <c r="P1082" s="32"/>
    </row>
    <row r="1083" spans="1:16" s="40" customFormat="1">
      <c r="A1083" s="220"/>
      <c r="B1083" s="162" t="s">
        <v>31</v>
      </c>
      <c r="C1083" s="239"/>
      <c r="D1083" s="163"/>
      <c r="E1083" s="51"/>
      <c r="F1083" s="51"/>
      <c r="G1083" s="51"/>
      <c r="H1083" s="51"/>
      <c r="I1083" s="51"/>
      <c r="J1083" s="301"/>
      <c r="K1083" s="301"/>
      <c r="L1083" s="270"/>
      <c r="M1083" s="271"/>
      <c r="N1083" s="32"/>
      <c r="O1083" s="32"/>
      <c r="P1083" s="32"/>
    </row>
    <row r="1084" spans="1:16" s="41" customFormat="1">
      <c r="A1084" s="220"/>
      <c r="B1084" s="162" t="s">
        <v>32</v>
      </c>
      <c r="C1084" s="239"/>
      <c r="D1084" s="163"/>
      <c r="E1084" s="51"/>
      <c r="F1084" s="51"/>
      <c r="G1084" s="51"/>
      <c r="H1084" s="51"/>
      <c r="I1084" s="51"/>
      <c r="J1084" s="301"/>
      <c r="K1084" s="301"/>
      <c r="L1084" s="270">
        <f>K1252-J1252</f>
        <v>560000</v>
      </c>
      <c r="M1084" s="271"/>
      <c r="N1084" s="107"/>
      <c r="O1084" s="108"/>
      <c r="P1084" s="108"/>
    </row>
    <row r="1085" spans="1:16" s="41" customFormat="1">
      <c r="A1085" s="220"/>
      <c r="B1085" s="162" t="s">
        <v>33</v>
      </c>
      <c r="C1085" s="239"/>
      <c r="D1085" s="163"/>
      <c r="E1085" s="51"/>
      <c r="F1085" s="51"/>
      <c r="G1085" s="51"/>
      <c r="H1085" s="51"/>
      <c r="I1085" s="51"/>
      <c r="J1085" s="301"/>
      <c r="K1085" s="301"/>
      <c r="L1085" s="270">
        <f>K1253-J1253</f>
        <v>600000</v>
      </c>
      <c r="M1085" s="271"/>
      <c r="N1085" s="107"/>
      <c r="O1085" s="108"/>
      <c r="P1085" s="108"/>
    </row>
    <row r="1086" spans="1:16" s="9" customFormat="1" ht="38.25">
      <c r="A1086" s="68">
        <v>7</v>
      </c>
      <c r="B1086" s="219" t="s">
        <v>334</v>
      </c>
      <c r="C1086" s="60" t="s">
        <v>21</v>
      </c>
      <c r="D1086" s="68" t="s">
        <v>57</v>
      </c>
      <c r="E1086" s="74"/>
      <c r="F1086" s="140"/>
      <c r="G1086" s="140"/>
      <c r="H1086" s="113"/>
      <c r="I1086" s="113"/>
      <c r="J1086" s="275"/>
      <c r="K1086" s="7"/>
      <c r="L1086" s="9">
        <f>K1254-J1254</f>
        <v>710000</v>
      </c>
      <c r="M1086" s="275"/>
      <c r="N1086" s="63"/>
      <c r="O1086" s="56"/>
      <c r="P1086" s="56"/>
    </row>
    <row r="1087" spans="1:16">
      <c r="A1087" s="220"/>
      <c r="B1087" s="162" t="s">
        <v>215</v>
      </c>
      <c r="C1087" s="239"/>
      <c r="D1087" s="163"/>
      <c r="E1087" s="51"/>
      <c r="F1087" s="51"/>
      <c r="G1087" s="51"/>
      <c r="H1087" s="164"/>
      <c r="I1087" s="164"/>
      <c r="J1087" s="301"/>
      <c r="K1087" s="301"/>
      <c r="M1087" s="259"/>
      <c r="N1087" s="63"/>
      <c r="O1087" s="56"/>
      <c r="P1087" s="56"/>
    </row>
    <row r="1088" spans="1:16">
      <c r="A1088" s="220"/>
      <c r="B1088" s="162" t="s">
        <v>216</v>
      </c>
      <c r="C1088" s="239"/>
      <c r="D1088" s="163"/>
      <c r="E1088" s="51"/>
      <c r="F1088" s="51"/>
      <c r="G1088" s="165"/>
      <c r="H1088" s="223"/>
      <c r="I1088" s="222"/>
      <c r="J1088" s="301"/>
      <c r="K1088" s="301"/>
      <c r="M1088" s="259"/>
      <c r="N1088" s="63"/>
      <c r="O1088" s="56"/>
      <c r="P1088" s="56"/>
    </row>
    <row r="1089" spans="1:16">
      <c r="A1089" s="220"/>
      <c r="B1089" s="162" t="s">
        <v>217</v>
      </c>
      <c r="C1089" s="239"/>
      <c r="D1089" s="163"/>
      <c r="E1089" s="51"/>
      <c r="F1089" s="51"/>
      <c r="G1089" s="165"/>
      <c r="H1089" s="223"/>
      <c r="I1089" s="222"/>
      <c r="J1089" s="301"/>
      <c r="K1089" s="301"/>
      <c r="M1089" s="259"/>
      <c r="N1089" s="63"/>
      <c r="O1089" s="56"/>
      <c r="P1089" s="56"/>
    </row>
    <row r="1090" spans="1:16">
      <c r="A1090" s="220"/>
      <c r="B1090" s="162" t="s">
        <v>31</v>
      </c>
      <c r="C1090" s="239"/>
      <c r="D1090" s="163"/>
      <c r="E1090" s="51"/>
      <c r="F1090" s="51"/>
      <c r="G1090" s="165"/>
      <c r="H1090" s="223"/>
      <c r="I1090" s="222"/>
      <c r="J1090" s="301"/>
      <c r="K1090" s="301"/>
      <c r="M1090" s="259"/>
      <c r="N1090" s="63"/>
      <c r="O1090" s="56"/>
      <c r="P1090" s="56"/>
    </row>
    <row r="1091" spans="1:16">
      <c r="A1091" s="220"/>
      <c r="B1091" s="162" t="s">
        <v>32</v>
      </c>
      <c r="C1091" s="239"/>
      <c r="D1091" s="163"/>
      <c r="E1091" s="51"/>
      <c r="F1091" s="51"/>
      <c r="G1091" s="51"/>
      <c r="H1091" s="164">
        <v>133160.85</v>
      </c>
      <c r="I1091" s="164">
        <v>133160.85</v>
      </c>
      <c r="J1091" s="312"/>
      <c r="K1091" s="312"/>
      <c r="M1091" s="259"/>
      <c r="N1091" s="63"/>
      <c r="O1091" s="56"/>
      <c r="P1091" s="56"/>
    </row>
    <row r="1092" spans="1:16">
      <c r="A1092" s="220"/>
      <c r="B1092" s="162" t="s">
        <v>33</v>
      </c>
      <c r="C1092" s="239"/>
      <c r="D1092" s="163"/>
      <c r="E1092" s="51"/>
      <c r="F1092" s="51"/>
      <c r="G1092" s="51"/>
      <c r="H1092" s="164">
        <v>133160.85</v>
      </c>
      <c r="I1092" s="164">
        <v>133160.85</v>
      </c>
      <c r="J1092" s="301"/>
      <c r="K1092" s="301"/>
      <c r="M1092" s="259"/>
      <c r="N1092" s="63"/>
      <c r="O1092" s="56"/>
      <c r="P1092" s="56"/>
    </row>
    <row r="1093" spans="1:16" s="9" customFormat="1" ht="38.25">
      <c r="A1093" s="68">
        <v>8</v>
      </c>
      <c r="B1093" s="219" t="s">
        <v>332</v>
      </c>
      <c r="C1093" s="60" t="s">
        <v>21</v>
      </c>
      <c r="D1093" s="68" t="s">
        <v>27</v>
      </c>
      <c r="E1093" s="74"/>
      <c r="F1093" s="140"/>
      <c r="G1093" s="140">
        <v>121227.08</v>
      </c>
      <c r="H1093" s="113"/>
      <c r="I1093" s="113"/>
      <c r="J1093" s="275"/>
      <c r="K1093" s="7"/>
      <c r="L1093" s="9">
        <f>K1268-J1268</f>
        <v>600000</v>
      </c>
      <c r="M1093" s="275"/>
      <c r="N1093" s="63"/>
      <c r="O1093" s="56"/>
      <c r="P1093" s="56"/>
    </row>
    <row r="1094" spans="1:16" s="41" customFormat="1">
      <c r="A1094" s="220"/>
      <c r="B1094" s="162" t="s">
        <v>215</v>
      </c>
      <c r="C1094" s="239"/>
      <c r="D1094" s="163"/>
      <c r="E1094" s="51"/>
      <c r="F1094" s="51"/>
      <c r="G1094" s="165"/>
      <c r="H1094" s="223"/>
      <c r="I1094" s="222"/>
      <c r="J1094" s="301"/>
      <c r="K1094" s="301"/>
      <c r="L1094" s="270">
        <f>K1269-J1269</f>
        <v>710000</v>
      </c>
      <c r="M1094" s="271"/>
      <c r="N1094" s="107"/>
      <c r="O1094" s="108"/>
      <c r="P1094" s="108"/>
    </row>
    <row r="1095" spans="1:16">
      <c r="A1095" s="220"/>
      <c r="B1095" s="162" t="s">
        <v>216</v>
      </c>
      <c r="C1095" s="239"/>
      <c r="D1095" s="163"/>
      <c r="E1095" s="51"/>
      <c r="F1095" s="51"/>
      <c r="G1095" s="165"/>
      <c r="H1095" s="223"/>
      <c r="I1095" s="222"/>
      <c r="J1095" s="301"/>
      <c r="K1095" s="301"/>
      <c r="M1095" s="259"/>
      <c r="N1095" s="63"/>
      <c r="O1095" s="56"/>
      <c r="P1095" s="56"/>
    </row>
    <row r="1096" spans="1:16">
      <c r="A1096" s="220"/>
      <c r="B1096" s="162" t="s">
        <v>217</v>
      </c>
      <c r="C1096" s="239"/>
      <c r="D1096" s="163"/>
      <c r="E1096" s="51"/>
      <c r="F1096" s="51"/>
      <c r="G1096" s="165"/>
      <c r="H1096" s="223"/>
      <c r="I1096" s="222"/>
      <c r="J1096" s="301"/>
      <c r="K1096" s="301"/>
      <c r="M1096" s="259"/>
      <c r="N1096" s="63"/>
      <c r="O1096" s="56"/>
      <c r="P1096" s="56"/>
    </row>
    <row r="1097" spans="1:16">
      <c r="A1097" s="220"/>
      <c r="B1097" s="162" t="s">
        <v>31</v>
      </c>
      <c r="C1097" s="239"/>
      <c r="D1097" s="163"/>
      <c r="E1097" s="51"/>
      <c r="F1097" s="51"/>
      <c r="G1097" s="51"/>
      <c r="H1097" s="164"/>
      <c r="I1097" s="222"/>
      <c r="J1097" s="301"/>
      <c r="K1097" s="301"/>
      <c r="M1097" s="259"/>
      <c r="N1097" s="63"/>
      <c r="O1097" s="56"/>
      <c r="P1097" s="56"/>
    </row>
    <row r="1098" spans="1:16">
      <c r="A1098" s="220"/>
      <c r="B1098" s="162" t="s">
        <v>32</v>
      </c>
      <c r="C1098" s="239"/>
      <c r="D1098" s="163"/>
      <c r="E1098" s="51"/>
      <c r="F1098" s="51"/>
      <c r="G1098" s="51"/>
      <c r="H1098" s="164">
        <f>I1098</f>
        <v>64432.19</v>
      </c>
      <c r="I1098" s="222">
        <v>64432.19</v>
      </c>
      <c r="J1098" s="301"/>
      <c r="K1098" s="301"/>
      <c r="M1098" s="259"/>
      <c r="N1098" s="63"/>
      <c r="O1098" s="56"/>
      <c r="P1098" s="56"/>
    </row>
    <row r="1099" spans="1:16">
      <c r="A1099" s="220"/>
      <c r="B1099" s="162" t="s">
        <v>33</v>
      </c>
      <c r="C1099" s="239">
        <v>1008</v>
      </c>
      <c r="D1099" s="163"/>
      <c r="E1099" s="51"/>
      <c r="F1099" s="51"/>
      <c r="G1099" s="51"/>
      <c r="H1099" s="164">
        <f>I1099</f>
        <v>64432.19</v>
      </c>
      <c r="I1099" s="164">
        <v>64432.19</v>
      </c>
      <c r="J1099" s="301"/>
      <c r="K1099" s="301"/>
      <c r="M1099" s="259"/>
      <c r="N1099" s="63"/>
      <c r="O1099" s="56"/>
      <c r="P1099" s="56"/>
    </row>
    <row r="1100" spans="1:16" s="9" customFormat="1" ht="38.25">
      <c r="A1100" s="68">
        <v>9</v>
      </c>
      <c r="B1100" s="219" t="s">
        <v>335</v>
      </c>
      <c r="C1100" s="60" t="s">
        <v>21</v>
      </c>
      <c r="D1100" s="68" t="s">
        <v>27</v>
      </c>
      <c r="E1100" s="74"/>
      <c r="F1100" s="140"/>
      <c r="G1100" s="140">
        <v>250171.06</v>
      </c>
      <c r="H1100" s="113"/>
      <c r="I1100" s="113"/>
      <c r="J1100" s="275"/>
      <c r="K1100" s="7"/>
      <c r="M1100" s="275"/>
      <c r="N1100" s="63"/>
      <c r="O1100" s="56"/>
      <c r="P1100" s="56"/>
    </row>
    <row r="1101" spans="1:16">
      <c r="A1101" s="220"/>
      <c r="B1101" s="162" t="s">
        <v>215</v>
      </c>
      <c r="C1101" s="239"/>
      <c r="D1101" s="163"/>
      <c r="E1101" s="165"/>
      <c r="F1101" s="165"/>
      <c r="G1101" s="165"/>
      <c r="H1101" s="164"/>
      <c r="I1101" s="222"/>
      <c r="J1101" s="301"/>
      <c r="K1101" s="301"/>
      <c r="M1101" s="259"/>
      <c r="N1101" s="63"/>
      <c r="O1101" s="56"/>
      <c r="P1101" s="56"/>
    </row>
    <row r="1102" spans="1:16">
      <c r="A1102" s="220"/>
      <c r="B1102" s="162" t="s">
        <v>216</v>
      </c>
      <c r="C1102" s="239"/>
      <c r="D1102" s="163"/>
      <c r="E1102" s="165"/>
      <c r="F1102" s="165"/>
      <c r="G1102" s="165"/>
      <c r="H1102" s="164"/>
      <c r="I1102" s="222"/>
      <c r="J1102" s="301"/>
      <c r="K1102" s="301"/>
      <c r="M1102" s="259"/>
      <c r="N1102" s="63"/>
      <c r="O1102" s="56"/>
      <c r="P1102" s="56"/>
    </row>
    <row r="1103" spans="1:16">
      <c r="A1103" s="220"/>
      <c r="B1103" s="162" t="s">
        <v>217</v>
      </c>
      <c r="C1103" s="239"/>
      <c r="D1103" s="163"/>
      <c r="E1103" s="165"/>
      <c r="F1103" s="165"/>
      <c r="G1103" s="165"/>
      <c r="H1103" s="224"/>
      <c r="I1103" s="225"/>
      <c r="J1103" s="316"/>
      <c r="K1103" s="316"/>
      <c r="M1103" s="259"/>
      <c r="N1103" s="63"/>
      <c r="O1103" s="56"/>
      <c r="P1103" s="56"/>
    </row>
    <row r="1104" spans="1:16">
      <c r="A1104" s="220"/>
      <c r="B1104" s="162" t="s">
        <v>31</v>
      </c>
      <c r="C1104" s="239"/>
      <c r="D1104" s="163"/>
      <c r="E1104" s="51"/>
      <c r="F1104" s="51"/>
      <c r="G1104" s="51"/>
      <c r="H1104" s="164"/>
      <c r="I1104" s="164"/>
      <c r="J1104" s="301"/>
      <c r="K1104" s="301"/>
      <c r="M1104" s="259"/>
      <c r="N1104" s="63"/>
      <c r="O1104" s="56"/>
      <c r="P1104" s="56"/>
    </row>
    <row r="1105" spans="1:16">
      <c r="A1105" s="220"/>
      <c r="B1105" s="162" t="s">
        <v>32</v>
      </c>
      <c r="C1105" s="239">
        <v>288</v>
      </c>
      <c r="D1105" s="163"/>
      <c r="E1105" s="51"/>
      <c r="F1105" s="51"/>
      <c r="G1105" s="51"/>
      <c r="H1105" s="164">
        <f>I1105</f>
        <v>141342.76999999999</v>
      </c>
      <c r="I1105" s="164">
        <v>141342.76999999999</v>
      </c>
      <c r="J1105" s="312"/>
      <c r="K1105" s="312"/>
      <c r="M1105" s="259"/>
      <c r="N1105" s="63"/>
      <c r="O1105" s="56"/>
      <c r="P1105" s="56"/>
    </row>
    <row r="1106" spans="1:16">
      <c r="A1106" s="220"/>
      <c r="B1106" s="162" t="s">
        <v>33</v>
      </c>
      <c r="C1106" s="239">
        <v>460</v>
      </c>
      <c r="D1106" s="163"/>
      <c r="E1106" s="51"/>
      <c r="F1106" s="51"/>
      <c r="G1106" s="51"/>
      <c r="H1106" s="164">
        <f>I1106</f>
        <v>141342.76999999999</v>
      </c>
      <c r="I1106" s="164">
        <v>141342.76999999999</v>
      </c>
      <c r="J1106" s="301"/>
      <c r="K1106" s="301"/>
      <c r="M1106" s="259"/>
      <c r="N1106" s="63"/>
      <c r="O1106" s="56"/>
      <c r="P1106" s="56"/>
    </row>
    <row r="1107" spans="1:16" s="9" customFormat="1" ht="42.75" customHeight="1">
      <c r="A1107" s="68">
        <v>10</v>
      </c>
      <c r="B1107" s="219" t="s">
        <v>336</v>
      </c>
      <c r="C1107" s="60" t="s">
        <v>21</v>
      </c>
      <c r="D1107" s="68" t="s">
        <v>57</v>
      </c>
      <c r="E1107" s="74"/>
      <c r="F1107" s="140"/>
      <c r="G1107" s="140"/>
      <c r="H1107" s="113"/>
      <c r="I1107" s="113"/>
      <c r="J1107" s="275"/>
      <c r="K1107" s="7"/>
      <c r="M1107" s="275"/>
      <c r="N1107" s="63"/>
      <c r="O1107" s="56"/>
      <c r="P1107" s="56"/>
    </row>
    <row r="1108" spans="1:16">
      <c r="A1108" s="220"/>
      <c r="B1108" s="162" t="s">
        <v>215</v>
      </c>
      <c r="C1108" s="239"/>
      <c r="D1108" s="175"/>
      <c r="E1108" s="165"/>
      <c r="F1108" s="165"/>
      <c r="G1108" s="165"/>
      <c r="H1108" s="164"/>
      <c r="I1108" s="164"/>
      <c r="J1108" s="301"/>
      <c r="K1108" s="301"/>
      <c r="M1108" s="259"/>
      <c r="N1108" s="63"/>
      <c r="O1108" s="56"/>
      <c r="P1108" s="56"/>
    </row>
    <row r="1109" spans="1:16">
      <c r="A1109" s="220"/>
      <c r="B1109" s="162" t="s">
        <v>216</v>
      </c>
      <c r="C1109" s="239"/>
      <c r="D1109" s="163"/>
      <c r="E1109" s="51"/>
      <c r="F1109" s="51"/>
      <c r="G1109" s="51"/>
      <c r="H1109" s="164"/>
      <c r="I1109" s="222"/>
      <c r="J1109" s="301"/>
      <c r="K1109" s="301"/>
      <c r="M1109" s="259"/>
      <c r="N1109" s="63"/>
      <c r="O1109" s="56"/>
      <c r="P1109" s="56"/>
    </row>
    <row r="1110" spans="1:16">
      <c r="A1110" s="220"/>
      <c r="B1110" s="162" t="s">
        <v>217</v>
      </c>
      <c r="C1110" s="239"/>
      <c r="D1110" s="163"/>
      <c r="E1110" s="51"/>
      <c r="F1110" s="51"/>
      <c r="G1110" s="51"/>
      <c r="H1110" s="164"/>
      <c r="I1110" s="222"/>
      <c r="J1110" s="301"/>
      <c r="K1110" s="301"/>
      <c r="M1110" s="259"/>
      <c r="N1110" s="63"/>
      <c r="O1110" s="56"/>
      <c r="P1110" s="56"/>
    </row>
    <row r="1111" spans="1:16">
      <c r="A1111" s="220"/>
      <c r="B1111" s="162" t="s">
        <v>31</v>
      </c>
      <c r="C1111" s="239"/>
      <c r="D1111" s="163"/>
      <c r="E1111" s="51"/>
      <c r="F1111" s="51"/>
      <c r="G1111" s="51"/>
      <c r="H1111" s="164"/>
      <c r="I1111" s="222"/>
      <c r="J1111" s="301"/>
      <c r="K1111" s="301"/>
      <c r="M1111" s="259"/>
      <c r="N1111" s="63"/>
      <c r="O1111" s="56"/>
      <c r="P1111" s="56"/>
    </row>
    <row r="1112" spans="1:16">
      <c r="A1112" s="220"/>
      <c r="B1112" s="162" t="s">
        <v>32</v>
      </c>
      <c r="C1112" s="239">
        <v>288</v>
      </c>
      <c r="D1112" s="163"/>
      <c r="E1112" s="51"/>
      <c r="F1112" s="51"/>
      <c r="G1112" s="51"/>
      <c r="H1112" s="164">
        <v>141342.78</v>
      </c>
      <c r="I1112" s="164">
        <v>141342.78</v>
      </c>
      <c r="J1112" s="301"/>
      <c r="K1112" s="301"/>
      <c r="M1112" s="259"/>
      <c r="N1112" s="63"/>
      <c r="O1112" s="56"/>
      <c r="P1112" s="56"/>
    </row>
    <row r="1113" spans="1:16">
      <c r="A1113" s="220"/>
      <c r="B1113" s="162" t="s">
        <v>33</v>
      </c>
      <c r="C1113" s="239">
        <v>460</v>
      </c>
      <c r="D1113" s="163"/>
      <c r="E1113" s="51"/>
      <c r="F1113" s="51"/>
      <c r="G1113" s="169"/>
      <c r="H1113" s="164">
        <v>141342.78</v>
      </c>
      <c r="I1113" s="164">
        <v>141342.78</v>
      </c>
      <c r="J1113" s="301"/>
      <c r="K1113" s="301"/>
      <c r="M1113" s="259"/>
      <c r="N1113" s="63"/>
      <c r="O1113" s="56"/>
      <c r="P1113" s="56"/>
    </row>
    <row r="1114" spans="1:16" s="9" customFormat="1" ht="38.25">
      <c r="A1114" s="68">
        <v>11</v>
      </c>
      <c r="B1114" s="219" t="s">
        <v>375</v>
      </c>
      <c r="C1114" s="60"/>
      <c r="D1114" s="68" t="s">
        <v>26</v>
      </c>
      <c r="E1114" s="74"/>
      <c r="F1114" s="140"/>
      <c r="G1114" s="140">
        <v>73834.89</v>
      </c>
      <c r="H1114" s="113"/>
      <c r="I1114" s="113"/>
      <c r="J1114" s="275"/>
      <c r="K1114" s="7"/>
      <c r="M1114" s="275"/>
      <c r="N1114" s="63"/>
      <c r="O1114" s="56"/>
      <c r="P1114" s="56"/>
    </row>
    <row r="1115" spans="1:16">
      <c r="A1115" s="220"/>
      <c r="B1115" s="162" t="s">
        <v>215</v>
      </c>
      <c r="C1115" s="239"/>
      <c r="D1115" s="163"/>
      <c r="E1115" s="51"/>
      <c r="F1115" s="51"/>
      <c r="G1115" s="165"/>
      <c r="H1115" s="223"/>
      <c r="I1115" s="164"/>
      <c r="J1115" s="301"/>
      <c r="K1115" s="301"/>
      <c r="M1115" s="259"/>
      <c r="N1115" s="63"/>
      <c r="O1115" s="56"/>
      <c r="P1115" s="56"/>
    </row>
    <row r="1116" spans="1:16">
      <c r="A1116" s="220"/>
      <c r="B1116" s="162" t="s">
        <v>216</v>
      </c>
      <c r="C1116" s="239"/>
      <c r="D1116" s="163"/>
      <c r="E1116" s="51"/>
      <c r="F1116" s="51"/>
      <c r="G1116" s="165"/>
      <c r="H1116" s="223"/>
      <c r="I1116" s="164"/>
      <c r="J1116" s="301"/>
      <c r="K1116" s="301"/>
      <c r="M1116" s="259"/>
      <c r="N1116" s="63"/>
      <c r="O1116" s="56"/>
      <c r="P1116" s="56"/>
    </row>
    <row r="1117" spans="1:16">
      <c r="A1117" s="220"/>
      <c r="B1117" s="162" t="s">
        <v>217</v>
      </c>
      <c r="C1117" s="239"/>
      <c r="D1117" s="163"/>
      <c r="E1117" s="51"/>
      <c r="F1117" s="51"/>
      <c r="G1117" s="165"/>
      <c r="H1117" s="223"/>
      <c r="I1117" s="164"/>
      <c r="J1117" s="301"/>
      <c r="K1117" s="301"/>
      <c r="M1117" s="259"/>
      <c r="N1117" s="63"/>
      <c r="O1117" s="56"/>
      <c r="P1117" s="56"/>
    </row>
    <row r="1118" spans="1:16">
      <c r="A1118" s="220"/>
      <c r="B1118" s="162" t="s">
        <v>31</v>
      </c>
      <c r="C1118" s="239"/>
      <c r="D1118" s="163"/>
      <c r="E1118" s="51"/>
      <c r="F1118" s="51"/>
      <c r="G1118" s="165"/>
      <c r="H1118" s="223">
        <f>I1118</f>
        <v>0</v>
      </c>
      <c r="I1118" s="164"/>
      <c r="J1118" s="301"/>
      <c r="K1118" s="301"/>
      <c r="M1118" s="259"/>
      <c r="N1118" s="63"/>
      <c r="O1118" s="56"/>
      <c r="P1118" s="56"/>
    </row>
    <row r="1119" spans="1:16">
      <c r="A1119" s="220"/>
      <c r="B1119" s="162" t="s">
        <v>32</v>
      </c>
      <c r="C1119" s="239">
        <v>8800</v>
      </c>
      <c r="D1119" s="163"/>
      <c r="E1119" s="51"/>
      <c r="F1119" s="51"/>
      <c r="G1119" s="51"/>
      <c r="H1119" s="164">
        <f>I1119</f>
        <v>78486.490000000005</v>
      </c>
      <c r="I1119" s="164">
        <v>78486.490000000005</v>
      </c>
      <c r="J1119" s="301"/>
      <c r="K1119" s="301"/>
      <c r="M1119" s="259"/>
      <c r="N1119" s="63"/>
      <c r="O1119" s="56"/>
      <c r="P1119" s="56"/>
    </row>
    <row r="1120" spans="1:16">
      <c r="A1120" s="220"/>
      <c r="B1120" s="162" t="s">
        <v>33</v>
      </c>
      <c r="C1120" s="239"/>
      <c r="D1120" s="163"/>
      <c r="E1120" s="51"/>
      <c r="F1120" s="51"/>
      <c r="G1120" s="51"/>
      <c r="H1120" s="164"/>
      <c r="I1120" s="164"/>
      <c r="J1120" s="301"/>
      <c r="K1120" s="301"/>
      <c r="M1120" s="259"/>
      <c r="N1120" s="63"/>
      <c r="O1120" s="56"/>
      <c r="P1120" s="56"/>
    </row>
    <row r="1121" spans="1:16" s="9" customFormat="1" ht="38.25">
      <c r="A1121" s="68">
        <v>12</v>
      </c>
      <c r="B1121" s="219" t="s">
        <v>339</v>
      </c>
      <c r="C1121" s="60" t="s">
        <v>21</v>
      </c>
      <c r="D1121" s="68" t="s">
        <v>133</v>
      </c>
      <c r="E1121" s="74"/>
      <c r="F1121" s="140"/>
      <c r="G1121" s="140">
        <v>160389.35999999999</v>
      </c>
      <c r="H1121" s="113"/>
      <c r="I1121" s="113"/>
      <c r="J1121" s="275"/>
      <c r="K1121" s="7"/>
      <c r="M1121" s="275"/>
      <c r="N1121" s="63"/>
      <c r="O1121" s="56"/>
      <c r="P1121" s="56"/>
    </row>
    <row r="1122" spans="1:16" s="41" customFormat="1">
      <c r="A1122" s="226"/>
      <c r="B1122" s="162" t="s">
        <v>215</v>
      </c>
      <c r="C1122" s="60"/>
      <c r="D1122" s="170"/>
      <c r="E1122" s="53"/>
      <c r="F1122" s="53"/>
      <c r="G1122" s="53"/>
      <c r="H1122" s="227"/>
      <c r="I1122" s="228"/>
      <c r="J1122" s="305"/>
      <c r="K1122" s="305"/>
      <c r="L1122" s="270">
        <f>K1318-J1318</f>
        <v>560000</v>
      </c>
      <c r="M1122" s="271"/>
      <c r="N1122" s="107"/>
      <c r="O1122" s="108"/>
      <c r="P1122" s="108"/>
    </row>
    <row r="1123" spans="1:16" s="41" customFormat="1">
      <c r="A1123" s="226"/>
      <c r="B1123" s="162" t="s">
        <v>216</v>
      </c>
      <c r="C1123" s="60"/>
      <c r="D1123" s="170"/>
      <c r="E1123" s="53"/>
      <c r="F1123" s="53"/>
      <c r="G1123" s="53"/>
      <c r="H1123" s="227"/>
      <c r="I1123" s="228"/>
      <c r="J1123" s="305"/>
      <c r="K1123" s="305"/>
      <c r="L1123" s="270">
        <f>K1319-J1319</f>
        <v>600000</v>
      </c>
      <c r="M1123" s="271"/>
      <c r="N1123" s="107"/>
      <c r="O1123" s="108"/>
      <c r="P1123" s="108"/>
    </row>
    <row r="1124" spans="1:16" s="41" customFormat="1">
      <c r="A1124" s="226"/>
      <c r="B1124" s="162" t="s">
        <v>217</v>
      </c>
      <c r="C1124" s="60"/>
      <c r="D1124" s="170"/>
      <c r="E1124" s="53"/>
      <c r="F1124" s="53"/>
      <c r="G1124" s="53"/>
      <c r="H1124" s="227"/>
      <c r="I1124" s="228"/>
      <c r="J1124" s="305"/>
      <c r="K1124" s="305"/>
      <c r="L1124" s="270">
        <f>K1320-J1320</f>
        <v>710000</v>
      </c>
      <c r="M1124" s="271"/>
      <c r="N1124" s="107"/>
      <c r="O1124" s="108"/>
      <c r="P1124" s="108"/>
    </row>
    <row r="1125" spans="1:16">
      <c r="A1125" s="226"/>
      <c r="B1125" s="162" t="s">
        <v>31</v>
      </c>
      <c r="C1125" s="60"/>
      <c r="D1125" s="170"/>
      <c r="E1125" s="53"/>
      <c r="F1125" s="53"/>
      <c r="G1125" s="53"/>
      <c r="H1125" s="227"/>
      <c r="I1125" s="228"/>
      <c r="J1125" s="305"/>
      <c r="K1125" s="305"/>
      <c r="M1125" s="259"/>
      <c r="N1125" s="63"/>
      <c r="O1125" s="56"/>
      <c r="P1125" s="56"/>
    </row>
    <row r="1126" spans="1:16">
      <c r="A1126" s="226"/>
      <c r="B1126" s="162" t="s">
        <v>32</v>
      </c>
      <c r="C1126" s="60"/>
      <c r="D1126" s="170"/>
      <c r="E1126" s="53"/>
      <c r="F1126" s="53"/>
      <c r="G1126" s="53"/>
      <c r="H1126" s="227">
        <f>I1126</f>
        <v>109357.83</v>
      </c>
      <c r="I1126" s="227">
        <v>109357.83</v>
      </c>
      <c r="J1126" s="337"/>
      <c r="K1126" s="337"/>
      <c r="M1126" s="259"/>
      <c r="N1126" s="63"/>
      <c r="O1126" s="56"/>
      <c r="P1126" s="56"/>
    </row>
    <row r="1127" spans="1:16">
      <c r="A1127" s="226"/>
      <c r="B1127" s="162" t="s">
        <v>33</v>
      </c>
      <c r="C1127" s="60">
        <v>1287</v>
      </c>
      <c r="D1127" s="170"/>
      <c r="E1127" s="53"/>
      <c r="F1127" s="53"/>
      <c r="G1127" s="53"/>
      <c r="H1127" s="227">
        <f>I1127</f>
        <v>109357.83</v>
      </c>
      <c r="I1127" s="227">
        <v>109357.83</v>
      </c>
      <c r="J1127" s="305"/>
      <c r="K1127" s="305"/>
      <c r="M1127" s="259"/>
      <c r="N1127" s="63"/>
      <c r="O1127" s="56"/>
      <c r="P1127" s="56"/>
    </row>
    <row r="1128" spans="1:16" s="9" customFormat="1" ht="51">
      <c r="A1128" s="68">
        <v>13</v>
      </c>
      <c r="B1128" s="219" t="s">
        <v>340</v>
      </c>
      <c r="C1128" s="60" t="s">
        <v>21</v>
      </c>
      <c r="D1128" s="68" t="s">
        <v>341</v>
      </c>
      <c r="E1128" s="74"/>
      <c r="F1128" s="140"/>
      <c r="G1128" s="140"/>
      <c r="H1128" s="113"/>
      <c r="I1128" s="113"/>
      <c r="J1128" s="275"/>
      <c r="K1128" s="7"/>
      <c r="M1128" s="275"/>
      <c r="N1128" s="63"/>
      <c r="O1128" s="56"/>
      <c r="P1128" s="56"/>
    </row>
    <row r="1129" spans="1:16">
      <c r="A1129" s="226"/>
      <c r="B1129" s="162" t="s">
        <v>215</v>
      </c>
      <c r="C1129" s="60"/>
      <c r="D1129" s="170"/>
      <c r="E1129" s="53"/>
      <c r="F1129" s="53"/>
      <c r="G1129" s="53"/>
      <c r="H1129" s="227">
        <v>288</v>
      </c>
      <c r="I1129" s="227">
        <v>288</v>
      </c>
      <c r="J1129" s="305"/>
      <c r="K1129" s="305"/>
      <c r="M1129" s="259"/>
      <c r="N1129" s="63"/>
      <c r="O1129" s="56"/>
      <c r="P1129" s="56"/>
    </row>
    <row r="1130" spans="1:16">
      <c r="A1130" s="226"/>
      <c r="B1130" s="162" t="s">
        <v>216</v>
      </c>
      <c r="C1130" s="60"/>
      <c r="D1130" s="170"/>
      <c r="E1130" s="53"/>
      <c r="F1130" s="53"/>
      <c r="G1130" s="53"/>
      <c r="H1130" s="227"/>
      <c r="I1130" s="227"/>
      <c r="J1130" s="305"/>
      <c r="K1130" s="305"/>
      <c r="M1130" s="259"/>
      <c r="N1130" s="63"/>
      <c r="O1130" s="56"/>
      <c r="P1130" s="56"/>
    </row>
    <row r="1131" spans="1:16">
      <c r="A1131" s="226"/>
      <c r="B1131" s="162" t="s">
        <v>217</v>
      </c>
      <c r="C1131" s="60"/>
      <c r="D1131" s="170"/>
      <c r="E1131" s="53"/>
      <c r="F1131" s="53"/>
      <c r="G1131" s="53"/>
      <c r="H1131" s="227"/>
      <c r="I1131" s="227"/>
      <c r="J1131" s="305"/>
      <c r="K1131" s="305"/>
      <c r="M1131" s="259"/>
      <c r="N1131" s="63"/>
      <c r="O1131" s="56"/>
      <c r="P1131" s="56"/>
    </row>
    <row r="1132" spans="1:16">
      <c r="A1132" s="226"/>
      <c r="B1132" s="162" t="s">
        <v>31</v>
      </c>
      <c r="C1132" s="60"/>
      <c r="D1132" s="170"/>
      <c r="E1132" s="53"/>
      <c r="F1132" s="53"/>
      <c r="G1132" s="53"/>
      <c r="H1132" s="227"/>
      <c r="I1132" s="227"/>
      <c r="J1132" s="305"/>
      <c r="K1132" s="305"/>
      <c r="M1132" s="259"/>
      <c r="N1132" s="63"/>
      <c r="O1132" s="56"/>
      <c r="P1132" s="56"/>
    </row>
    <row r="1133" spans="1:16">
      <c r="A1133" s="226"/>
      <c r="B1133" s="162" t="s">
        <v>32</v>
      </c>
      <c r="C1133" s="60"/>
      <c r="D1133" s="170"/>
      <c r="E1133" s="53"/>
      <c r="F1133" s="53"/>
      <c r="G1133" s="53"/>
      <c r="H1133" s="227"/>
      <c r="I1133" s="227"/>
      <c r="J1133" s="305"/>
      <c r="K1133" s="305"/>
      <c r="M1133" s="259"/>
      <c r="N1133" s="63"/>
      <c r="O1133" s="56"/>
      <c r="P1133" s="56"/>
    </row>
    <row r="1134" spans="1:16">
      <c r="A1134" s="226"/>
      <c r="B1134" s="162" t="s">
        <v>33</v>
      </c>
      <c r="C1134" s="60"/>
      <c r="D1134" s="170"/>
      <c r="E1134" s="53"/>
      <c r="F1134" s="53"/>
      <c r="G1134" s="53"/>
      <c r="H1134" s="227"/>
      <c r="I1134" s="227"/>
      <c r="J1134" s="305"/>
      <c r="K1134" s="305"/>
      <c r="M1134" s="259"/>
      <c r="N1134" s="63"/>
      <c r="O1134" s="56"/>
      <c r="P1134" s="56"/>
    </row>
    <row r="1135" spans="1:16" s="9" customFormat="1" ht="25.5">
      <c r="A1135" s="68">
        <v>14</v>
      </c>
      <c r="B1135" s="219" t="s">
        <v>376</v>
      </c>
      <c r="C1135" s="60" t="s">
        <v>21</v>
      </c>
      <c r="D1135" s="68" t="s">
        <v>342</v>
      </c>
      <c r="E1135" s="74"/>
      <c r="F1135" s="140"/>
      <c r="G1135" s="140"/>
      <c r="H1135" s="113"/>
      <c r="I1135" s="113"/>
      <c r="J1135" s="275"/>
      <c r="K1135" s="7"/>
      <c r="M1135" s="275"/>
      <c r="N1135" s="63"/>
      <c r="O1135" s="56"/>
      <c r="P1135" s="56"/>
    </row>
    <row r="1136" spans="1:16">
      <c r="A1136" s="226"/>
      <c r="B1136" s="162" t="s">
        <v>215</v>
      </c>
      <c r="C1136" s="60"/>
      <c r="D1136" s="170"/>
      <c r="E1136" s="53"/>
      <c r="F1136" s="53"/>
      <c r="G1136" s="53"/>
      <c r="H1136" s="227">
        <v>299300</v>
      </c>
      <c r="I1136" s="227">
        <v>299300</v>
      </c>
      <c r="J1136" s="305"/>
      <c r="K1136" s="305"/>
      <c r="M1136" s="259"/>
      <c r="N1136" s="63"/>
      <c r="O1136" s="56"/>
      <c r="P1136" s="56"/>
    </row>
    <row r="1137" spans="1:16">
      <c r="A1137" s="226"/>
      <c r="B1137" s="162" t="s">
        <v>216</v>
      </c>
      <c r="C1137" s="60">
        <v>1778</v>
      </c>
      <c r="D1137" s="170"/>
      <c r="E1137" s="53"/>
      <c r="F1137" s="53"/>
      <c r="G1137" s="53"/>
      <c r="H1137" s="227">
        <v>813094.40000000002</v>
      </c>
      <c r="I1137" s="227">
        <v>813094.40000000002</v>
      </c>
      <c r="J1137" s="305"/>
      <c r="K1137" s="305"/>
      <c r="M1137" s="259"/>
      <c r="N1137" s="63"/>
      <c r="O1137" s="56"/>
      <c r="P1137" s="56"/>
    </row>
    <row r="1138" spans="1:16">
      <c r="A1138" s="226"/>
      <c r="B1138" s="162" t="s">
        <v>217</v>
      </c>
      <c r="C1138" s="60"/>
      <c r="D1138" s="170"/>
      <c r="E1138" s="53"/>
      <c r="F1138" s="53"/>
      <c r="G1138" s="53" t="s">
        <v>343</v>
      </c>
      <c r="H1138" s="227"/>
      <c r="I1138" s="227"/>
      <c r="J1138" s="305"/>
      <c r="K1138" s="305"/>
      <c r="M1138" s="259"/>
      <c r="N1138" s="63"/>
      <c r="O1138" s="56"/>
      <c r="P1138" s="56"/>
    </row>
    <row r="1139" spans="1:16">
      <c r="A1139" s="226"/>
      <c r="B1139" s="162" t="s">
        <v>31</v>
      </c>
      <c r="C1139" s="60"/>
      <c r="D1139" s="170"/>
      <c r="E1139" s="53"/>
      <c r="F1139" s="53"/>
      <c r="G1139" s="53"/>
      <c r="H1139" s="227"/>
      <c r="I1139" s="227"/>
      <c r="J1139" s="305"/>
      <c r="K1139" s="305"/>
      <c r="M1139" s="259"/>
      <c r="N1139" s="63"/>
      <c r="O1139" s="56"/>
      <c r="P1139" s="56"/>
    </row>
    <row r="1140" spans="1:16" s="40" customFormat="1">
      <c r="A1140" s="226"/>
      <c r="B1140" s="162" t="s">
        <v>32</v>
      </c>
      <c r="C1140" s="60"/>
      <c r="D1140" s="170"/>
      <c r="E1140" s="53"/>
      <c r="F1140" s="53"/>
      <c r="G1140" s="53"/>
      <c r="H1140" s="227"/>
      <c r="I1140" s="227"/>
      <c r="J1140" s="305"/>
      <c r="K1140" s="305"/>
      <c r="L1140" s="270"/>
      <c r="M1140" s="271"/>
      <c r="N1140" s="32"/>
      <c r="O1140" s="32"/>
      <c r="P1140" s="32"/>
    </row>
    <row r="1141" spans="1:16" s="40" customFormat="1">
      <c r="A1141" s="226"/>
      <c r="B1141" s="162" t="s">
        <v>33</v>
      </c>
      <c r="C1141" s="60"/>
      <c r="D1141" s="170"/>
      <c r="E1141" s="53"/>
      <c r="F1141" s="53"/>
      <c r="G1141" s="53"/>
      <c r="H1141" s="227"/>
      <c r="I1141" s="227"/>
      <c r="J1141" s="305"/>
      <c r="K1141" s="305"/>
      <c r="L1141" s="329" t="e">
        <f>#REF!+L1119+L1127+L1134</f>
        <v>#REF!</v>
      </c>
      <c r="M1141" s="286"/>
      <c r="N1141" s="33"/>
      <c r="O1141" s="32"/>
      <c r="P1141" s="32"/>
    </row>
    <row r="1142" spans="1:16" s="9" customFormat="1" ht="38.25">
      <c r="A1142" s="68">
        <v>15</v>
      </c>
      <c r="B1142" s="219" t="s">
        <v>344</v>
      </c>
      <c r="C1142" s="60" t="s">
        <v>21</v>
      </c>
      <c r="D1142" s="68" t="s">
        <v>341</v>
      </c>
      <c r="E1142" s="74"/>
      <c r="F1142" s="140"/>
      <c r="G1142" s="140"/>
      <c r="H1142" s="113"/>
      <c r="I1142" s="113"/>
      <c r="J1142" s="275"/>
      <c r="K1142" s="7"/>
      <c r="M1142" s="275"/>
      <c r="N1142" s="63"/>
      <c r="O1142" s="56"/>
      <c r="P1142" s="56"/>
    </row>
    <row r="1143" spans="1:16" s="40" customFormat="1">
      <c r="A1143" s="226"/>
      <c r="B1143" s="162" t="s">
        <v>215</v>
      </c>
      <c r="C1143" s="60"/>
      <c r="D1143" s="170"/>
      <c r="E1143" s="53"/>
      <c r="F1143" s="53"/>
      <c r="G1143" s="53"/>
      <c r="H1143" s="227">
        <v>4850</v>
      </c>
      <c r="I1143" s="227">
        <v>4850</v>
      </c>
      <c r="J1143" s="305"/>
      <c r="K1143" s="305"/>
      <c r="L1143" s="270"/>
      <c r="M1143" s="271"/>
      <c r="N1143" s="32"/>
      <c r="O1143" s="32"/>
      <c r="P1143" s="32"/>
    </row>
    <row r="1144" spans="1:16" s="41" customFormat="1">
      <c r="A1144" s="226"/>
      <c r="B1144" s="162" t="s">
        <v>216</v>
      </c>
      <c r="C1144" s="60"/>
      <c r="D1144" s="170"/>
      <c r="E1144" s="53"/>
      <c r="F1144" s="53"/>
      <c r="G1144" s="53"/>
      <c r="H1144" s="53"/>
      <c r="I1144" s="53"/>
      <c r="J1144" s="305"/>
      <c r="K1144" s="305"/>
      <c r="L1144" s="270">
        <f>K1333-J1333</f>
        <v>560000</v>
      </c>
      <c r="M1144" s="271"/>
      <c r="N1144" s="107"/>
      <c r="O1144" s="108"/>
      <c r="P1144" s="108"/>
    </row>
    <row r="1145" spans="1:16" s="41" customFormat="1">
      <c r="A1145" s="226"/>
      <c r="B1145" s="162" t="s">
        <v>217</v>
      </c>
      <c r="C1145" s="60"/>
      <c r="D1145" s="170"/>
      <c r="E1145" s="53"/>
      <c r="F1145" s="53"/>
      <c r="G1145" s="53"/>
      <c r="H1145" s="53"/>
      <c r="I1145" s="53"/>
      <c r="J1145" s="305"/>
      <c r="K1145" s="305"/>
      <c r="L1145" s="270">
        <f>K1334-J1334</f>
        <v>600000</v>
      </c>
      <c r="M1145" s="271"/>
      <c r="N1145" s="107"/>
      <c r="O1145" s="108"/>
      <c r="P1145" s="108"/>
    </row>
    <row r="1146" spans="1:16" s="41" customFormat="1">
      <c r="A1146" s="226"/>
      <c r="B1146" s="162" t="s">
        <v>31</v>
      </c>
      <c r="C1146" s="60"/>
      <c r="D1146" s="170"/>
      <c r="E1146" s="53"/>
      <c r="F1146" s="53"/>
      <c r="G1146" s="53"/>
      <c r="H1146" s="53"/>
      <c r="I1146" s="53"/>
      <c r="J1146" s="305"/>
      <c r="K1146" s="305"/>
      <c r="L1146" s="270">
        <f>K1335-J1335</f>
        <v>710000</v>
      </c>
      <c r="M1146" s="271"/>
      <c r="N1146" s="107"/>
      <c r="O1146" s="108"/>
      <c r="P1146" s="108"/>
    </row>
    <row r="1147" spans="1:16">
      <c r="A1147" s="226"/>
      <c r="B1147" s="162" t="s">
        <v>32</v>
      </c>
      <c r="C1147" s="60"/>
      <c r="D1147" s="170"/>
      <c r="E1147" s="53"/>
      <c r="F1147" s="53"/>
      <c r="G1147" s="53"/>
      <c r="H1147" s="53"/>
      <c r="I1147" s="53"/>
      <c r="J1147" s="305"/>
      <c r="K1147" s="305"/>
      <c r="M1147" s="259"/>
      <c r="N1147" s="63"/>
      <c r="O1147" s="56"/>
      <c r="P1147" s="56"/>
    </row>
    <row r="1148" spans="1:16">
      <c r="A1148" s="226"/>
      <c r="B1148" s="162" t="s">
        <v>33</v>
      </c>
      <c r="C1148" s="60"/>
      <c r="D1148" s="170"/>
      <c r="E1148" s="53"/>
      <c r="F1148" s="53"/>
      <c r="G1148" s="53"/>
      <c r="H1148" s="227"/>
      <c r="I1148" s="227"/>
      <c r="J1148" s="305"/>
      <c r="K1148" s="305"/>
      <c r="M1148" s="259"/>
      <c r="N1148" s="63"/>
      <c r="O1148" s="56"/>
      <c r="P1148" s="56"/>
    </row>
    <row r="1149" spans="1:16" s="9" customFormat="1" ht="38.25">
      <c r="A1149" s="68">
        <v>16</v>
      </c>
      <c r="B1149" s="219" t="s">
        <v>345</v>
      </c>
      <c r="C1149" s="60" t="s">
        <v>21</v>
      </c>
      <c r="D1149" s="68">
        <v>2010</v>
      </c>
      <c r="E1149" s="74"/>
      <c r="F1149" s="140"/>
      <c r="G1149" s="140"/>
      <c r="H1149" s="113"/>
      <c r="I1149" s="113"/>
      <c r="J1149" s="275"/>
      <c r="K1149" s="7"/>
      <c r="M1149" s="275"/>
      <c r="N1149" s="63"/>
      <c r="O1149" s="56"/>
      <c r="P1149" s="56"/>
    </row>
    <row r="1150" spans="1:16">
      <c r="A1150" s="226"/>
      <c r="B1150" s="162" t="s">
        <v>215</v>
      </c>
      <c r="C1150" s="60"/>
      <c r="D1150" s="170"/>
      <c r="E1150" s="53"/>
      <c r="F1150" s="53"/>
      <c r="G1150" s="53"/>
      <c r="H1150" s="227">
        <v>3418.6</v>
      </c>
      <c r="I1150" s="227">
        <v>3418.6</v>
      </c>
      <c r="J1150" s="305"/>
      <c r="K1150" s="305"/>
      <c r="M1150" s="259"/>
      <c r="N1150" s="63"/>
      <c r="O1150" s="56"/>
      <c r="P1150" s="56"/>
    </row>
    <row r="1151" spans="1:16">
      <c r="A1151" s="226"/>
      <c r="B1151" s="162" t="s">
        <v>216</v>
      </c>
      <c r="C1151" s="60"/>
      <c r="D1151" s="170"/>
      <c r="E1151" s="53"/>
      <c r="F1151" s="53"/>
      <c r="G1151" s="53"/>
      <c r="H1151" s="227"/>
      <c r="I1151" s="227"/>
      <c r="J1151" s="305"/>
      <c r="K1151" s="305"/>
      <c r="M1151" s="259"/>
      <c r="N1151" s="63"/>
      <c r="O1151" s="56"/>
      <c r="P1151" s="56"/>
    </row>
    <row r="1152" spans="1:16">
      <c r="A1152" s="226"/>
      <c r="B1152" s="162" t="s">
        <v>217</v>
      </c>
      <c r="C1152" s="60"/>
      <c r="D1152" s="170"/>
      <c r="E1152" s="53"/>
      <c r="F1152" s="53"/>
      <c r="G1152" s="53"/>
      <c r="H1152" s="227"/>
      <c r="I1152" s="227"/>
      <c r="J1152" s="305"/>
      <c r="K1152" s="305"/>
      <c r="M1152" s="259"/>
      <c r="N1152" s="63"/>
      <c r="O1152" s="56"/>
      <c r="P1152" s="56"/>
    </row>
    <row r="1153" spans="1:16">
      <c r="A1153" s="226"/>
      <c r="B1153" s="162" t="s">
        <v>31</v>
      </c>
      <c r="C1153" s="60"/>
      <c r="D1153" s="170"/>
      <c r="E1153" s="53"/>
      <c r="F1153" s="53"/>
      <c r="G1153" s="53"/>
      <c r="H1153" s="227"/>
      <c r="I1153" s="227"/>
      <c r="J1153" s="305"/>
      <c r="K1153" s="305"/>
      <c r="M1153" s="259"/>
      <c r="N1153" s="63"/>
      <c r="O1153" s="56"/>
      <c r="P1153" s="56"/>
    </row>
    <row r="1154" spans="1:16">
      <c r="A1154" s="226"/>
      <c r="B1154" s="162" t="s">
        <v>32</v>
      </c>
      <c r="C1154" s="60"/>
      <c r="D1154" s="170"/>
      <c r="E1154" s="53"/>
      <c r="F1154" s="53"/>
      <c r="G1154" s="53"/>
      <c r="H1154" s="227"/>
      <c r="I1154" s="227"/>
      <c r="J1154" s="305"/>
      <c r="K1154" s="305"/>
      <c r="M1154" s="259"/>
      <c r="N1154" s="63"/>
      <c r="O1154" s="56"/>
      <c r="P1154" s="56"/>
    </row>
    <row r="1155" spans="1:16">
      <c r="A1155" s="226"/>
      <c r="B1155" s="162" t="s">
        <v>33</v>
      </c>
      <c r="C1155" s="60"/>
      <c r="D1155" s="170"/>
      <c r="E1155" s="53"/>
      <c r="F1155" s="53"/>
      <c r="G1155" s="53"/>
      <c r="H1155" s="227"/>
      <c r="I1155" s="227"/>
      <c r="J1155" s="305"/>
      <c r="K1155" s="305"/>
      <c r="M1155" s="259"/>
      <c r="N1155" s="63"/>
      <c r="O1155" s="56"/>
      <c r="P1155" s="56"/>
    </row>
    <row r="1156" spans="1:16" s="9" customFormat="1" ht="38.25">
      <c r="A1156" s="68">
        <v>17</v>
      </c>
      <c r="B1156" s="219" t="s">
        <v>377</v>
      </c>
      <c r="C1156" s="60" t="s">
        <v>21</v>
      </c>
      <c r="D1156" s="68" t="s">
        <v>346</v>
      </c>
      <c r="E1156" s="74"/>
      <c r="F1156" s="140"/>
      <c r="G1156" s="140">
        <v>198000</v>
      </c>
      <c r="H1156" s="113"/>
      <c r="I1156" s="113"/>
      <c r="J1156" s="275"/>
      <c r="K1156" s="7"/>
      <c r="M1156" s="275"/>
      <c r="N1156" s="63"/>
      <c r="O1156" s="56"/>
      <c r="P1156" s="229"/>
    </row>
    <row r="1157" spans="1:16">
      <c r="A1157" s="226"/>
      <c r="B1157" s="162" t="s">
        <v>215</v>
      </c>
      <c r="C1157" s="60"/>
      <c r="D1157" s="170"/>
      <c r="E1157" s="53"/>
      <c r="F1157" s="53"/>
      <c r="G1157" s="53"/>
      <c r="H1157" s="227">
        <v>1400</v>
      </c>
      <c r="I1157" s="227">
        <v>1400</v>
      </c>
      <c r="J1157" s="305"/>
      <c r="K1157" s="305"/>
      <c r="M1157" s="259"/>
      <c r="N1157" s="63"/>
      <c r="O1157" s="56"/>
      <c r="P1157" s="56"/>
    </row>
    <row r="1158" spans="1:16">
      <c r="A1158" s="226"/>
      <c r="B1158" s="162" t="s">
        <v>216</v>
      </c>
      <c r="C1158" s="60"/>
      <c r="D1158" s="170"/>
      <c r="E1158" s="53"/>
      <c r="F1158" s="53"/>
      <c r="G1158" s="53"/>
      <c r="H1158" s="227"/>
      <c r="I1158" s="227"/>
      <c r="J1158" s="305"/>
      <c r="K1158" s="305"/>
      <c r="M1158" s="259"/>
      <c r="N1158" s="63"/>
      <c r="O1158" s="56"/>
      <c r="P1158" s="56"/>
    </row>
    <row r="1159" spans="1:16">
      <c r="A1159" s="226"/>
      <c r="B1159" s="162" t="s">
        <v>217</v>
      </c>
      <c r="C1159" s="60"/>
      <c r="D1159" s="170"/>
      <c r="E1159" s="53"/>
      <c r="F1159" s="53"/>
      <c r="G1159" s="53"/>
      <c r="H1159" s="227">
        <f>I1159</f>
        <v>0</v>
      </c>
      <c r="I1159" s="227"/>
      <c r="J1159" s="305"/>
      <c r="K1159" s="305"/>
      <c r="M1159" s="259"/>
      <c r="N1159" s="63"/>
      <c r="O1159" s="56"/>
      <c r="P1159" s="56"/>
    </row>
    <row r="1160" spans="1:16">
      <c r="A1160" s="226"/>
      <c r="B1160" s="162" t="s">
        <v>31</v>
      </c>
      <c r="C1160" s="60"/>
      <c r="D1160" s="170"/>
      <c r="E1160" s="53"/>
      <c r="F1160" s="53"/>
      <c r="G1160" s="53"/>
      <c r="H1160" s="227"/>
      <c r="I1160" s="227"/>
      <c r="J1160" s="305"/>
      <c r="K1160" s="305"/>
      <c r="M1160" s="259"/>
      <c r="N1160" s="63"/>
      <c r="O1160" s="56"/>
      <c r="P1160" s="56"/>
    </row>
    <row r="1161" spans="1:16">
      <c r="A1161" s="226"/>
      <c r="B1161" s="162" t="s">
        <v>32</v>
      </c>
      <c r="C1161" s="60"/>
      <c r="D1161" s="170"/>
      <c r="E1161" s="53"/>
      <c r="F1161" s="53"/>
      <c r="G1161" s="53"/>
      <c r="H1161" s="227">
        <f>I1161</f>
        <v>222151.91</v>
      </c>
      <c r="I1161" s="227">
        <v>222151.91</v>
      </c>
      <c r="J1161" s="305"/>
      <c r="K1161" s="305"/>
      <c r="M1161" s="259"/>
      <c r="N1161" s="63"/>
      <c r="O1161" s="56"/>
      <c r="P1161" s="56"/>
    </row>
    <row r="1162" spans="1:16">
      <c r="A1162" s="226"/>
      <c r="B1162" s="162" t="s">
        <v>33</v>
      </c>
      <c r="C1162" s="60"/>
      <c r="D1162" s="170"/>
      <c r="E1162" s="53"/>
      <c r="F1162" s="53"/>
      <c r="G1162" s="53"/>
      <c r="H1162" s="227"/>
      <c r="I1162" s="227"/>
      <c r="J1162" s="305"/>
      <c r="K1162" s="305"/>
      <c r="M1162" s="259"/>
      <c r="N1162" s="63"/>
      <c r="O1162" s="56"/>
      <c r="P1162" s="56"/>
    </row>
    <row r="1163" spans="1:16" s="9" customFormat="1" ht="38.25">
      <c r="A1163" s="68">
        <v>18</v>
      </c>
      <c r="B1163" s="219" t="s">
        <v>347</v>
      </c>
      <c r="C1163" s="60" t="s">
        <v>21</v>
      </c>
      <c r="D1163" s="68" t="s">
        <v>348</v>
      </c>
      <c r="E1163" s="74"/>
      <c r="F1163" s="140"/>
      <c r="G1163" s="140">
        <v>582074.91</v>
      </c>
      <c r="H1163" s="113"/>
      <c r="I1163" s="113"/>
      <c r="J1163" s="275"/>
      <c r="K1163" s="7"/>
      <c r="M1163" s="275"/>
      <c r="N1163" s="63"/>
      <c r="O1163" s="56"/>
      <c r="P1163" s="56"/>
    </row>
    <row r="1164" spans="1:16">
      <c r="A1164" s="226"/>
      <c r="B1164" s="162" t="s">
        <v>215</v>
      </c>
      <c r="C1164" s="60">
        <v>1548</v>
      </c>
      <c r="D1164" s="170"/>
      <c r="E1164" s="53"/>
      <c r="F1164" s="53"/>
      <c r="G1164" s="53"/>
      <c r="H1164" s="227">
        <f>I1164</f>
        <v>236800</v>
      </c>
      <c r="I1164" s="227">
        <v>236800</v>
      </c>
      <c r="J1164" s="305"/>
      <c r="K1164" s="305"/>
      <c r="M1164" s="259"/>
      <c r="N1164" s="63"/>
      <c r="O1164" s="56"/>
      <c r="P1164" s="56"/>
    </row>
    <row r="1165" spans="1:16">
      <c r="A1165" s="226"/>
      <c r="B1165" s="162" t="s">
        <v>216</v>
      </c>
      <c r="C1165" s="60">
        <v>1392</v>
      </c>
      <c r="D1165" s="170"/>
      <c r="E1165" s="53"/>
      <c r="F1165" s="53"/>
      <c r="G1165" s="53"/>
      <c r="H1165" s="227">
        <v>330560</v>
      </c>
      <c r="I1165" s="227">
        <v>330560</v>
      </c>
      <c r="J1165" s="305"/>
      <c r="K1165" s="305"/>
      <c r="M1165" s="259"/>
      <c r="N1165" s="63"/>
      <c r="O1165" s="56"/>
      <c r="P1165" s="56"/>
    </row>
    <row r="1166" spans="1:16">
      <c r="A1166" s="226"/>
      <c r="B1166" s="162" t="s">
        <v>217</v>
      </c>
      <c r="C1166" s="350"/>
      <c r="D1166" s="170"/>
      <c r="E1166" s="53"/>
      <c r="F1166" s="53"/>
      <c r="G1166" s="53"/>
      <c r="H1166" s="227"/>
      <c r="I1166" s="227"/>
      <c r="J1166" s="305"/>
      <c r="K1166" s="305"/>
      <c r="M1166" s="259"/>
      <c r="N1166" s="63"/>
      <c r="O1166" s="56"/>
      <c r="P1166" s="56"/>
    </row>
    <row r="1167" spans="1:16">
      <c r="A1167" s="226"/>
      <c r="B1167" s="162" t="s">
        <v>31</v>
      </c>
      <c r="C1167" s="60"/>
      <c r="D1167" s="170"/>
      <c r="E1167" s="53"/>
      <c r="F1167" s="53"/>
      <c r="G1167" s="53"/>
      <c r="H1167" s="227"/>
      <c r="I1167" s="227"/>
      <c r="J1167" s="305"/>
      <c r="K1167" s="305"/>
      <c r="M1167" s="259"/>
      <c r="N1167" s="63"/>
      <c r="O1167" s="56"/>
      <c r="P1167" s="56"/>
    </row>
    <row r="1168" spans="1:16">
      <c r="A1168" s="226"/>
      <c r="B1168" s="162" t="s">
        <v>32</v>
      </c>
      <c r="C1168" s="60"/>
      <c r="D1168" s="170"/>
      <c r="E1168" s="53"/>
      <c r="F1168" s="53"/>
      <c r="G1168" s="53"/>
      <c r="H1168" s="227"/>
      <c r="I1168" s="227"/>
      <c r="J1168" s="305"/>
      <c r="K1168" s="305"/>
      <c r="M1168" s="259"/>
      <c r="N1168" s="63"/>
      <c r="O1168" s="56"/>
      <c r="P1168" s="56"/>
    </row>
    <row r="1169" spans="1:16">
      <c r="A1169" s="226"/>
      <c r="B1169" s="162" t="s">
        <v>33</v>
      </c>
      <c r="C1169" s="60"/>
      <c r="D1169" s="170"/>
      <c r="E1169" s="53"/>
      <c r="F1169" s="53"/>
      <c r="G1169" s="53"/>
      <c r="H1169" s="227"/>
      <c r="I1169" s="227"/>
      <c r="J1169" s="305"/>
      <c r="K1169" s="305"/>
      <c r="M1169" s="259"/>
      <c r="N1169" s="63"/>
      <c r="O1169" s="56"/>
      <c r="P1169" s="56"/>
    </row>
    <row r="1170" spans="1:16" s="9" customFormat="1" ht="38.25">
      <c r="A1170" s="68">
        <v>19</v>
      </c>
      <c r="B1170" s="219" t="s">
        <v>349</v>
      </c>
      <c r="C1170" s="60" t="s">
        <v>21</v>
      </c>
      <c r="D1170" s="68">
        <v>2011</v>
      </c>
      <c r="E1170" s="74"/>
      <c r="F1170" s="140"/>
      <c r="G1170" s="140"/>
      <c r="H1170" s="113"/>
      <c r="I1170" s="113"/>
      <c r="J1170" s="275"/>
      <c r="K1170" s="7"/>
      <c r="M1170" s="275"/>
      <c r="N1170" s="63"/>
      <c r="O1170" s="56"/>
      <c r="P1170" s="56"/>
    </row>
    <row r="1171" spans="1:16">
      <c r="A1171" s="226"/>
      <c r="B1171" s="162" t="s">
        <v>215</v>
      </c>
      <c r="C1171" s="60"/>
      <c r="D1171" s="170"/>
      <c r="E1171" s="53"/>
      <c r="F1171" s="53"/>
      <c r="G1171" s="53"/>
      <c r="H1171" s="227"/>
      <c r="I1171" s="227"/>
      <c r="J1171" s="305"/>
      <c r="K1171" s="305"/>
      <c r="M1171" s="259"/>
      <c r="N1171" s="63"/>
      <c r="O1171" s="56"/>
      <c r="P1171" s="56"/>
    </row>
    <row r="1172" spans="1:16">
      <c r="A1172" s="226"/>
      <c r="B1172" s="162" t="s">
        <v>216</v>
      </c>
      <c r="C1172" s="60"/>
      <c r="D1172" s="170"/>
      <c r="E1172" s="53"/>
      <c r="F1172" s="53"/>
      <c r="G1172" s="53"/>
      <c r="H1172" s="227">
        <v>127000</v>
      </c>
      <c r="I1172" s="227">
        <v>127000</v>
      </c>
      <c r="J1172" s="305"/>
      <c r="K1172" s="305"/>
      <c r="M1172" s="259"/>
      <c r="N1172" s="63"/>
      <c r="O1172" s="56"/>
      <c r="P1172" s="56"/>
    </row>
    <row r="1173" spans="1:16">
      <c r="A1173" s="226"/>
      <c r="B1173" s="162" t="s">
        <v>217</v>
      </c>
      <c r="C1173" s="60"/>
      <c r="D1173" s="170"/>
      <c r="E1173" s="53"/>
      <c r="F1173" s="53"/>
      <c r="G1173" s="53"/>
      <c r="H1173" s="227"/>
      <c r="I1173" s="227"/>
      <c r="J1173" s="305"/>
      <c r="K1173" s="305"/>
      <c r="M1173" s="259"/>
      <c r="N1173" s="63"/>
      <c r="O1173" s="56"/>
      <c r="P1173" s="56"/>
    </row>
    <row r="1174" spans="1:16">
      <c r="A1174" s="226"/>
      <c r="B1174" s="162" t="s">
        <v>31</v>
      </c>
      <c r="C1174" s="60"/>
      <c r="D1174" s="170"/>
      <c r="E1174" s="53"/>
      <c r="F1174" s="53"/>
      <c r="G1174" s="53"/>
      <c r="H1174" s="227"/>
      <c r="I1174" s="227"/>
      <c r="J1174" s="305"/>
      <c r="K1174" s="305"/>
      <c r="M1174" s="259"/>
      <c r="N1174" s="63"/>
      <c r="O1174" s="56"/>
      <c r="P1174" s="56"/>
    </row>
    <row r="1175" spans="1:16">
      <c r="A1175" s="226"/>
      <c r="B1175" s="162" t="s">
        <v>32</v>
      </c>
      <c r="C1175" s="60"/>
      <c r="D1175" s="170"/>
      <c r="E1175" s="53"/>
      <c r="F1175" s="53"/>
      <c r="G1175" s="53"/>
      <c r="H1175" s="227"/>
      <c r="I1175" s="227"/>
      <c r="J1175" s="305"/>
      <c r="K1175" s="305"/>
      <c r="M1175" s="259"/>
      <c r="N1175" s="63"/>
      <c r="O1175" s="56"/>
      <c r="P1175" s="56"/>
    </row>
    <row r="1176" spans="1:16">
      <c r="A1176" s="226"/>
      <c r="B1176" s="162" t="s">
        <v>33</v>
      </c>
      <c r="C1176" s="60"/>
      <c r="D1176" s="170"/>
      <c r="E1176" s="53"/>
      <c r="F1176" s="53"/>
      <c r="G1176" s="53"/>
      <c r="H1176" s="227"/>
      <c r="I1176" s="227"/>
      <c r="J1176" s="305"/>
      <c r="K1176" s="305"/>
      <c r="M1176" s="259"/>
      <c r="N1176" s="63"/>
      <c r="O1176" s="56"/>
      <c r="P1176" s="56"/>
    </row>
    <row r="1177" spans="1:16" s="9" customFormat="1" ht="38.25">
      <c r="A1177" s="68">
        <v>20</v>
      </c>
      <c r="B1177" s="219" t="s">
        <v>350</v>
      </c>
      <c r="C1177" s="60" t="s">
        <v>21</v>
      </c>
      <c r="D1177" s="68" t="s">
        <v>84</v>
      </c>
      <c r="E1177" s="74"/>
      <c r="F1177" s="140"/>
      <c r="G1177" s="140"/>
      <c r="H1177" s="113"/>
      <c r="I1177" s="113"/>
      <c r="J1177" s="275"/>
      <c r="K1177" s="7"/>
      <c r="M1177" s="275"/>
      <c r="N1177" s="63"/>
      <c r="O1177" s="56"/>
      <c r="P1177" s="56"/>
    </row>
    <row r="1178" spans="1:16">
      <c r="A1178" s="226"/>
      <c r="B1178" s="162" t="s">
        <v>215</v>
      </c>
      <c r="C1178" s="60"/>
      <c r="D1178" s="170"/>
      <c r="E1178" s="53"/>
      <c r="F1178" s="53"/>
      <c r="G1178" s="53"/>
      <c r="H1178" s="227">
        <v>186684.7</v>
      </c>
      <c r="I1178" s="227">
        <v>186684.7</v>
      </c>
      <c r="J1178" s="305"/>
      <c r="K1178" s="305"/>
      <c r="M1178" s="259"/>
      <c r="N1178" s="63"/>
      <c r="O1178" s="56"/>
      <c r="P1178" s="56"/>
    </row>
    <row r="1179" spans="1:16">
      <c r="A1179" s="226"/>
      <c r="B1179" s="162" t="s">
        <v>216</v>
      </c>
      <c r="C1179" s="60"/>
      <c r="D1179" s="170"/>
      <c r="E1179" s="53"/>
      <c r="F1179" s="53"/>
      <c r="G1179" s="53"/>
      <c r="H1179" s="227">
        <v>91315.3</v>
      </c>
      <c r="I1179" s="227">
        <v>91315.3</v>
      </c>
      <c r="J1179" s="305"/>
      <c r="K1179" s="305"/>
      <c r="M1179" s="259"/>
      <c r="N1179" s="63"/>
      <c r="O1179" s="56"/>
      <c r="P1179" s="56"/>
    </row>
    <row r="1180" spans="1:16">
      <c r="A1180" s="226"/>
      <c r="B1180" s="162" t="s">
        <v>217</v>
      </c>
      <c r="C1180" s="60"/>
      <c r="D1180" s="170"/>
      <c r="E1180" s="53"/>
      <c r="F1180" s="53"/>
      <c r="G1180" s="53"/>
      <c r="H1180" s="53"/>
      <c r="I1180" s="53"/>
      <c r="J1180" s="305"/>
      <c r="K1180" s="305"/>
      <c r="M1180" s="259"/>
      <c r="N1180" s="63"/>
      <c r="O1180" s="56"/>
      <c r="P1180" s="56"/>
    </row>
    <row r="1181" spans="1:16">
      <c r="A1181" s="226"/>
      <c r="B1181" s="162" t="s">
        <v>31</v>
      </c>
      <c r="C1181" s="60"/>
      <c r="D1181" s="170"/>
      <c r="E1181" s="53"/>
      <c r="F1181" s="53"/>
      <c r="G1181" s="53"/>
      <c r="H1181" s="53"/>
      <c r="I1181" s="53"/>
      <c r="J1181" s="305"/>
      <c r="K1181" s="305"/>
      <c r="M1181" s="259"/>
      <c r="N1181" s="63"/>
      <c r="O1181" s="56"/>
      <c r="P1181" s="56"/>
    </row>
    <row r="1182" spans="1:16">
      <c r="A1182" s="226"/>
      <c r="B1182" s="162" t="s">
        <v>32</v>
      </c>
      <c r="C1182" s="60"/>
      <c r="D1182" s="170"/>
      <c r="E1182" s="53"/>
      <c r="F1182" s="53"/>
      <c r="G1182" s="53"/>
      <c r="H1182" s="53"/>
      <c r="I1182" s="53"/>
      <c r="J1182" s="305"/>
      <c r="K1182" s="305"/>
      <c r="M1182" s="259"/>
      <c r="N1182" s="63"/>
      <c r="O1182" s="56"/>
      <c r="P1182" s="56"/>
    </row>
    <row r="1183" spans="1:16">
      <c r="A1183" s="226"/>
      <c r="B1183" s="162" t="s">
        <v>33</v>
      </c>
      <c r="C1183" s="60"/>
      <c r="D1183" s="170"/>
      <c r="E1183" s="53"/>
      <c r="F1183" s="53"/>
      <c r="G1183" s="53"/>
      <c r="H1183" s="53"/>
      <c r="I1183" s="53"/>
      <c r="J1183" s="305"/>
      <c r="K1183" s="305"/>
      <c r="M1183" s="259"/>
      <c r="N1183" s="63"/>
      <c r="O1183" s="56"/>
      <c r="P1183" s="56"/>
    </row>
    <row r="1184" spans="1:16" s="9" customFormat="1" ht="25.5">
      <c r="A1184" s="68">
        <v>21</v>
      </c>
      <c r="B1184" s="219" t="s">
        <v>351</v>
      </c>
      <c r="C1184" s="60" t="s">
        <v>21</v>
      </c>
      <c r="D1184" s="68" t="s">
        <v>133</v>
      </c>
      <c r="E1184" s="74"/>
      <c r="F1184" s="140"/>
      <c r="G1184" s="140">
        <v>800000</v>
      </c>
      <c r="H1184" s="113"/>
      <c r="I1184" s="113"/>
      <c r="J1184" s="275"/>
      <c r="K1184" s="7"/>
      <c r="M1184" s="275"/>
      <c r="N1184" s="63"/>
      <c r="O1184" s="56"/>
      <c r="P1184" s="56"/>
    </row>
    <row r="1185" spans="1:16">
      <c r="A1185" s="226"/>
      <c r="B1185" s="162" t="s">
        <v>215</v>
      </c>
      <c r="C1185" s="60"/>
      <c r="D1185" s="170"/>
      <c r="E1185" s="53"/>
      <c r="F1185" s="53"/>
      <c r="G1185" s="53"/>
      <c r="H1185" s="53"/>
      <c r="I1185" s="53"/>
      <c r="J1185" s="305"/>
      <c r="K1185" s="305"/>
      <c r="M1185" s="259"/>
      <c r="N1185" s="63"/>
      <c r="O1185" s="56"/>
      <c r="P1185" s="56"/>
    </row>
    <row r="1186" spans="1:16">
      <c r="A1186" s="226"/>
      <c r="B1186" s="162" t="s">
        <v>216</v>
      </c>
      <c r="C1186" s="60"/>
      <c r="D1186" s="170"/>
      <c r="E1186" s="53"/>
      <c r="F1186" s="53"/>
      <c r="G1186" s="53"/>
      <c r="H1186" s="53"/>
      <c r="I1186" s="53"/>
      <c r="J1186" s="305"/>
      <c r="K1186" s="305"/>
      <c r="M1186" s="259"/>
      <c r="N1186" s="63"/>
      <c r="O1186" s="56"/>
      <c r="P1186" s="56"/>
    </row>
    <row r="1187" spans="1:16">
      <c r="A1187" s="226"/>
      <c r="B1187" s="162" t="s">
        <v>217</v>
      </c>
      <c r="C1187" s="60"/>
      <c r="D1187" s="170"/>
      <c r="E1187" s="53"/>
      <c r="F1187" s="53"/>
      <c r="G1187" s="53"/>
      <c r="H1187" s="53">
        <f>I1187</f>
        <v>0</v>
      </c>
      <c r="I1187" s="53"/>
      <c r="J1187" s="305"/>
      <c r="K1187" s="305"/>
      <c r="M1187" s="259"/>
      <c r="N1187" s="63"/>
      <c r="O1187" s="56"/>
      <c r="P1187" s="56"/>
    </row>
    <row r="1188" spans="1:16">
      <c r="A1188" s="226"/>
      <c r="B1188" s="162" t="s">
        <v>31</v>
      </c>
      <c r="C1188" s="60"/>
      <c r="D1188" s="170"/>
      <c r="E1188" s="53"/>
      <c r="F1188" s="53"/>
      <c r="G1188" s="53"/>
      <c r="H1188" s="53">
        <f>I1188</f>
        <v>0</v>
      </c>
      <c r="I1188" s="53"/>
      <c r="J1188" s="305"/>
      <c r="K1188" s="305"/>
      <c r="M1188" s="259"/>
      <c r="N1188" s="63"/>
      <c r="O1188" s="56"/>
      <c r="P1188" s="56"/>
    </row>
    <row r="1189" spans="1:16">
      <c r="A1189" s="226"/>
      <c r="B1189" s="162" t="s">
        <v>32</v>
      </c>
      <c r="C1189" s="60"/>
      <c r="D1189" s="170"/>
      <c r="E1189" s="53"/>
      <c r="F1189" s="53"/>
      <c r="G1189" s="53"/>
      <c r="H1189" s="53">
        <f>I1189</f>
        <v>400000</v>
      </c>
      <c r="I1189" s="53">
        <v>400000</v>
      </c>
      <c r="J1189" s="305"/>
      <c r="K1189" s="305"/>
      <c r="M1189" s="259"/>
      <c r="N1189" s="63"/>
      <c r="O1189" s="56"/>
      <c r="P1189" s="56"/>
    </row>
    <row r="1190" spans="1:16">
      <c r="A1190" s="226"/>
      <c r="B1190" s="162" t="s">
        <v>33</v>
      </c>
      <c r="C1190" s="60"/>
      <c r="D1190" s="170"/>
      <c r="E1190" s="53"/>
      <c r="F1190" s="53"/>
      <c r="G1190" s="53"/>
      <c r="H1190" s="53">
        <f>I1190</f>
        <v>400000</v>
      </c>
      <c r="I1190" s="53">
        <v>400000</v>
      </c>
      <c r="J1190" s="305"/>
      <c r="K1190" s="305"/>
      <c r="M1190" s="259"/>
      <c r="N1190" s="63"/>
      <c r="O1190" s="56"/>
      <c r="P1190" s="56"/>
    </row>
    <row r="1191" spans="1:16" s="9" customFormat="1" ht="38.25">
      <c r="A1191" s="68">
        <v>22</v>
      </c>
      <c r="B1191" s="219" t="s">
        <v>378</v>
      </c>
      <c r="C1191" s="60" t="s">
        <v>21</v>
      </c>
      <c r="D1191" s="68" t="s">
        <v>309</v>
      </c>
      <c r="E1191" s="74"/>
      <c r="F1191" s="140"/>
      <c r="G1191" s="140">
        <v>1200000</v>
      </c>
      <c r="H1191" s="113"/>
      <c r="I1191" s="113"/>
      <c r="J1191" s="275"/>
      <c r="K1191" s="7"/>
      <c r="M1191" s="275"/>
      <c r="N1191" s="63"/>
      <c r="O1191" s="56"/>
      <c r="P1191" s="56"/>
    </row>
    <row r="1192" spans="1:16">
      <c r="A1192" s="226"/>
      <c r="B1192" s="162" t="s">
        <v>215</v>
      </c>
      <c r="C1192" s="60"/>
      <c r="D1192" s="230"/>
      <c r="E1192" s="53"/>
      <c r="F1192" s="53"/>
      <c r="G1192" s="53"/>
      <c r="H1192" s="53"/>
      <c r="I1192" s="53"/>
      <c r="J1192" s="305"/>
      <c r="K1192" s="305"/>
      <c r="M1192" s="259"/>
      <c r="N1192" s="63"/>
      <c r="O1192" s="56"/>
      <c r="P1192" s="56"/>
    </row>
    <row r="1193" spans="1:16">
      <c r="A1193" s="226"/>
      <c r="B1193" s="162" t="s">
        <v>216</v>
      </c>
      <c r="C1193" s="60"/>
      <c r="D1193" s="170"/>
      <c r="E1193" s="53"/>
      <c r="F1193" s="53"/>
      <c r="G1193" s="53"/>
      <c r="H1193" s="53">
        <v>18000</v>
      </c>
      <c r="I1193" s="53">
        <v>18000</v>
      </c>
      <c r="J1193" s="305"/>
      <c r="K1193" s="305"/>
      <c r="M1193" s="259"/>
      <c r="N1193" s="63"/>
      <c r="O1193" s="56"/>
      <c r="P1193" s="56"/>
    </row>
    <row r="1194" spans="1:16">
      <c r="A1194" s="226"/>
      <c r="B1194" s="162" t="s">
        <v>217</v>
      </c>
      <c r="C1194" s="60"/>
      <c r="D1194" s="170"/>
      <c r="E1194" s="53"/>
      <c r="F1194" s="53"/>
      <c r="G1194" s="53"/>
      <c r="H1194" s="53">
        <f>I1194</f>
        <v>0</v>
      </c>
      <c r="I1194" s="53">
        <f>(G1191-I1193)/2-I1196</f>
        <v>0</v>
      </c>
      <c r="J1194" s="305"/>
      <c r="K1194" s="305"/>
      <c r="M1194" s="259"/>
      <c r="N1194" s="63"/>
      <c r="O1194" s="56"/>
      <c r="P1194" s="56"/>
    </row>
    <row r="1195" spans="1:16">
      <c r="A1195" s="226"/>
      <c r="B1195" s="162" t="s">
        <v>31</v>
      </c>
      <c r="C1195" s="60"/>
      <c r="D1195" s="170"/>
      <c r="E1195" s="53"/>
      <c r="F1195" s="53"/>
      <c r="G1195" s="53"/>
      <c r="H1195" s="53">
        <f>I1195</f>
        <v>0</v>
      </c>
      <c r="I1195" s="53">
        <f>I1194</f>
        <v>0</v>
      </c>
      <c r="J1195" s="305"/>
      <c r="K1195" s="305"/>
      <c r="M1195" s="259"/>
      <c r="N1195" s="63"/>
      <c r="O1195" s="56"/>
      <c r="P1195" s="56"/>
    </row>
    <row r="1196" spans="1:16">
      <c r="A1196" s="226"/>
      <c r="B1196" s="162" t="s">
        <v>32</v>
      </c>
      <c r="C1196" s="60"/>
      <c r="D1196" s="170"/>
      <c r="E1196" s="53"/>
      <c r="F1196" s="53"/>
      <c r="G1196" s="53"/>
      <c r="H1196" s="53">
        <f>I1196</f>
        <v>591000</v>
      </c>
      <c r="I1196" s="53">
        <v>591000</v>
      </c>
      <c r="J1196" s="305"/>
      <c r="K1196" s="305"/>
      <c r="M1196" s="259"/>
      <c r="N1196" s="63"/>
      <c r="O1196" s="56"/>
      <c r="P1196" s="56"/>
    </row>
    <row r="1197" spans="1:16">
      <c r="A1197" s="226"/>
      <c r="B1197" s="162" t="s">
        <v>33</v>
      </c>
      <c r="C1197" s="60"/>
      <c r="D1197" s="170"/>
      <c r="E1197" s="53"/>
      <c r="F1197" s="53"/>
      <c r="G1197" s="53"/>
      <c r="H1197" s="53">
        <f>I1197</f>
        <v>591000</v>
      </c>
      <c r="I1197" s="53">
        <v>591000</v>
      </c>
      <c r="J1197" s="305"/>
      <c r="K1197" s="305"/>
      <c r="M1197" s="259"/>
      <c r="N1197" s="63"/>
      <c r="O1197" s="56"/>
      <c r="P1197" s="56"/>
    </row>
    <row r="1198" spans="1:16" s="9" customFormat="1" ht="25.5">
      <c r="A1198" s="68">
        <v>23</v>
      </c>
      <c r="B1198" s="219" t="s">
        <v>379</v>
      </c>
      <c r="C1198" s="60" t="s">
        <v>21</v>
      </c>
      <c r="D1198" s="68" t="s">
        <v>366</v>
      </c>
      <c r="E1198" s="74"/>
      <c r="F1198" s="140"/>
      <c r="G1198" s="140">
        <v>236518.8</v>
      </c>
      <c r="H1198" s="113"/>
      <c r="I1198" s="113"/>
      <c r="J1198" s="275"/>
      <c r="K1198" s="7"/>
      <c r="M1198" s="275"/>
      <c r="N1198" s="63"/>
      <c r="O1198" s="56"/>
      <c r="P1198" s="56"/>
    </row>
    <row r="1199" spans="1:16">
      <c r="A1199" s="226"/>
      <c r="B1199" s="162" t="s">
        <v>215</v>
      </c>
      <c r="C1199" s="60"/>
      <c r="D1199" s="170"/>
      <c r="E1199" s="53"/>
      <c r="F1199" s="53"/>
      <c r="G1199" s="53"/>
      <c r="H1199" s="53"/>
      <c r="I1199" s="53"/>
      <c r="J1199" s="305"/>
      <c r="K1199" s="305"/>
      <c r="M1199" s="259"/>
      <c r="N1199" s="63"/>
      <c r="O1199" s="56"/>
      <c r="P1199" s="56"/>
    </row>
    <row r="1200" spans="1:16">
      <c r="A1200" s="226"/>
      <c r="B1200" s="162" t="s">
        <v>216</v>
      </c>
      <c r="C1200" s="60"/>
      <c r="D1200" s="170"/>
      <c r="E1200" s="53"/>
      <c r="F1200" s="53"/>
      <c r="G1200" s="53"/>
      <c r="H1200" s="53">
        <f>I1200</f>
        <v>25000</v>
      </c>
      <c r="I1200" s="53">
        <v>25000</v>
      </c>
      <c r="J1200" s="305"/>
      <c r="K1200" s="305"/>
      <c r="M1200" s="259"/>
      <c r="N1200" s="63"/>
      <c r="O1200" s="56"/>
      <c r="P1200" s="56"/>
    </row>
    <row r="1201" spans="1:16">
      <c r="A1201" s="226"/>
      <c r="B1201" s="162" t="s">
        <v>217</v>
      </c>
      <c r="C1201" s="60"/>
      <c r="D1201" s="170"/>
      <c r="E1201" s="53"/>
      <c r="F1201" s="53"/>
      <c r="G1201" s="53"/>
      <c r="H1201" s="53">
        <f>I1201</f>
        <v>0</v>
      </c>
      <c r="I1201" s="53"/>
      <c r="J1201" s="305"/>
      <c r="K1201" s="305"/>
      <c r="M1201" s="259"/>
      <c r="N1201" s="63"/>
      <c r="O1201" s="56"/>
      <c r="P1201" s="56"/>
    </row>
    <row r="1202" spans="1:16">
      <c r="A1202" s="226"/>
      <c r="B1202" s="162" t="s">
        <v>31</v>
      </c>
      <c r="C1202" s="60"/>
      <c r="D1202" s="170"/>
      <c r="E1202" s="53"/>
      <c r="F1202" s="53"/>
      <c r="G1202" s="53"/>
      <c r="H1202" s="53"/>
      <c r="I1202" s="53"/>
      <c r="J1202" s="305"/>
      <c r="K1202" s="305"/>
      <c r="M1202" s="259"/>
      <c r="N1202" s="63"/>
      <c r="O1202" s="56"/>
      <c r="P1202" s="56"/>
    </row>
    <row r="1203" spans="1:16">
      <c r="A1203" s="226"/>
      <c r="B1203" s="162" t="s">
        <v>32</v>
      </c>
      <c r="C1203" s="60"/>
      <c r="D1203" s="170"/>
      <c r="E1203" s="53"/>
      <c r="F1203" s="53"/>
      <c r="G1203" s="53"/>
      <c r="H1203" s="227">
        <f>I1203</f>
        <v>239009.69</v>
      </c>
      <c r="I1203" s="227">
        <v>239009.69</v>
      </c>
      <c r="J1203" s="305"/>
      <c r="K1203" s="305"/>
      <c r="M1203" s="259"/>
      <c r="N1203" s="63"/>
      <c r="O1203" s="56"/>
      <c r="P1203" s="56"/>
    </row>
    <row r="1204" spans="1:16">
      <c r="A1204" s="226"/>
      <c r="B1204" s="162" t="s">
        <v>33</v>
      </c>
      <c r="C1204" s="60"/>
      <c r="D1204" s="170"/>
      <c r="E1204" s="53"/>
      <c r="F1204" s="53"/>
      <c r="G1204" s="53"/>
      <c r="H1204" s="53"/>
      <c r="I1204" s="53"/>
      <c r="J1204" s="305"/>
      <c r="K1204" s="305"/>
      <c r="M1204" s="259"/>
      <c r="N1204" s="63"/>
      <c r="O1204" s="56"/>
      <c r="P1204" s="56"/>
    </row>
    <row r="1205" spans="1:16" s="9" customFormat="1" ht="25.5">
      <c r="A1205" s="68">
        <v>24</v>
      </c>
      <c r="B1205" s="219" t="s">
        <v>380</v>
      </c>
      <c r="C1205" s="60" t="s">
        <v>21</v>
      </c>
      <c r="D1205" s="68" t="s">
        <v>133</v>
      </c>
      <c r="E1205" s="74"/>
      <c r="F1205" s="140"/>
      <c r="G1205" s="140">
        <v>600000</v>
      </c>
      <c r="H1205" s="113"/>
      <c r="I1205" s="113"/>
      <c r="J1205" s="275"/>
      <c r="K1205" s="7"/>
      <c r="M1205" s="275"/>
      <c r="N1205" s="63"/>
      <c r="O1205" s="56"/>
      <c r="P1205" s="56"/>
    </row>
    <row r="1206" spans="1:16">
      <c r="A1206" s="226"/>
      <c r="B1206" s="162" t="s">
        <v>215</v>
      </c>
      <c r="C1206" s="60"/>
      <c r="D1206" s="170"/>
      <c r="E1206" s="53"/>
      <c r="F1206" s="53"/>
      <c r="G1206" s="53"/>
      <c r="H1206" s="53"/>
      <c r="I1206" s="53"/>
      <c r="J1206" s="305"/>
      <c r="K1206" s="305"/>
      <c r="M1206" s="259"/>
      <c r="N1206" s="63"/>
      <c r="O1206" s="56"/>
      <c r="P1206" s="56"/>
    </row>
    <row r="1207" spans="1:16">
      <c r="A1207" s="226"/>
      <c r="B1207" s="162" t="s">
        <v>216</v>
      </c>
      <c r="C1207" s="60"/>
      <c r="D1207" s="170"/>
      <c r="E1207" s="53"/>
      <c r="F1207" s="53"/>
      <c r="G1207" s="53"/>
      <c r="H1207" s="53"/>
      <c r="I1207" s="53"/>
      <c r="J1207" s="305"/>
      <c r="K1207" s="305"/>
      <c r="M1207" s="259"/>
      <c r="N1207" s="63"/>
      <c r="O1207" s="56"/>
      <c r="P1207" s="56"/>
    </row>
    <row r="1208" spans="1:16">
      <c r="A1208" s="226"/>
      <c r="B1208" s="162" t="s">
        <v>217</v>
      </c>
      <c r="C1208" s="60"/>
      <c r="D1208" s="170"/>
      <c r="E1208" s="53"/>
      <c r="F1208" s="53"/>
      <c r="G1208" s="53"/>
      <c r="H1208" s="53">
        <f>I1208</f>
        <v>0</v>
      </c>
      <c r="I1208" s="53">
        <f>G1205/2-I1210</f>
        <v>0</v>
      </c>
      <c r="J1208" s="305"/>
      <c r="K1208" s="305"/>
      <c r="M1208" s="259"/>
      <c r="N1208" s="63"/>
      <c r="O1208" s="56"/>
      <c r="P1208" s="56"/>
    </row>
    <row r="1209" spans="1:16">
      <c r="A1209" s="226"/>
      <c r="B1209" s="162" t="s">
        <v>31</v>
      </c>
      <c r="C1209" s="60"/>
      <c r="D1209" s="170"/>
      <c r="E1209" s="53"/>
      <c r="F1209" s="53"/>
      <c r="G1209" s="53"/>
      <c r="H1209" s="53">
        <f>I1209</f>
        <v>0</v>
      </c>
      <c r="I1209" s="53">
        <f>I1208</f>
        <v>0</v>
      </c>
      <c r="J1209" s="305"/>
      <c r="K1209" s="305"/>
      <c r="M1209" s="259"/>
      <c r="N1209" s="63"/>
      <c r="O1209" s="56"/>
      <c r="P1209" s="56"/>
    </row>
    <row r="1210" spans="1:16">
      <c r="A1210" s="226"/>
      <c r="B1210" s="162" t="s">
        <v>32</v>
      </c>
      <c r="C1210" s="60"/>
      <c r="D1210" s="170"/>
      <c r="E1210" s="53"/>
      <c r="F1210" s="53"/>
      <c r="G1210" s="53"/>
      <c r="H1210" s="53">
        <f>I1210</f>
        <v>300000</v>
      </c>
      <c r="I1210" s="53">
        <v>300000</v>
      </c>
      <c r="J1210" s="305"/>
      <c r="K1210" s="305"/>
      <c r="M1210" s="259"/>
      <c r="N1210" s="63"/>
      <c r="O1210" s="56"/>
      <c r="P1210" s="56"/>
    </row>
    <row r="1211" spans="1:16">
      <c r="A1211" s="226"/>
      <c r="B1211" s="162" t="s">
        <v>33</v>
      </c>
      <c r="C1211" s="60"/>
      <c r="D1211" s="170"/>
      <c r="E1211" s="53"/>
      <c r="F1211" s="53"/>
      <c r="G1211" s="53"/>
      <c r="H1211" s="53">
        <f>I1211</f>
        <v>300000</v>
      </c>
      <c r="I1211" s="53">
        <v>300000</v>
      </c>
      <c r="J1211" s="305"/>
      <c r="K1211" s="305"/>
      <c r="M1211" s="259"/>
      <c r="N1211" s="63"/>
      <c r="O1211" s="56"/>
      <c r="P1211" s="56"/>
    </row>
    <row r="1212" spans="1:16" s="9" customFormat="1" ht="25.5">
      <c r="A1212" s="68">
        <v>25</v>
      </c>
      <c r="B1212" s="219" t="s">
        <v>381</v>
      </c>
      <c r="C1212" s="60" t="s">
        <v>21</v>
      </c>
      <c r="D1212" s="68" t="s">
        <v>309</v>
      </c>
      <c r="E1212" s="74"/>
      <c r="F1212" s="140"/>
      <c r="G1212" s="140">
        <v>6000000</v>
      </c>
      <c r="H1212" s="113"/>
      <c r="I1212" s="113"/>
      <c r="J1212" s="275"/>
      <c r="K1212" s="7"/>
      <c r="M1212" s="275"/>
      <c r="N1212" s="63"/>
      <c r="O1212" s="56"/>
      <c r="P1212" s="56"/>
    </row>
    <row r="1213" spans="1:16">
      <c r="A1213" s="226"/>
      <c r="B1213" s="162" t="s">
        <v>215</v>
      </c>
      <c r="C1213" s="60"/>
      <c r="D1213" s="170"/>
      <c r="E1213" s="53"/>
      <c r="F1213" s="53"/>
      <c r="G1213" s="53"/>
      <c r="H1213" s="53"/>
      <c r="I1213" s="53"/>
      <c r="J1213" s="305"/>
      <c r="K1213" s="305"/>
      <c r="M1213" s="259"/>
      <c r="N1213" s="63"/>
      <c r="O1213" s="56"/>
      <c r="P1213" s="56"/>
    </row>
    <row r="1214" spans="1:16">
      <c r="A1214" s="226"/>
      <c r="B1214" s="162" t="s">
        <v>216</v>
      </c>
      <c r="C1214" s="60"/>
      <c r="D1214" s="170"/>
      <c r="E1214" s="53"/>
      <c r="F1214" s="53"/>
      <c r="G1214" s="53"/>
      <c r="H1214" s="53">
        <f>I1214</f>
        <v>40000</v>
      </c>
      <c r="I1214" s="53">
        <v>40000</v>
      </c>
      <c r="J1214" s="305"/>
      <c r="K1214" s="305"/>
      <c r="M1214" s="259"/>
      <c r="N1214" s="63"/>
      <c r="O1214" s="56"/>
      <c r="P1214" s="56"/>
    </row>
    <row r="1215" spans="1:16">
      <c r="A1215" s="226"/>
      <c r="B1215" s="162" t="s">
        <v>217</v>
      </c>
      <c r="C1215" s="60"/>
      <c r="D1215" s="170"/>
      <c r="E1215" s="53"/>
      <c r="F1215" s="53"/>
      <c r="G1215" s="53"/>
      <c r="H1215" s="53"/>
      <c r="I1215" s="53"/>
      <c r="J1215" s="305"/>
      <c r="K1215" s="305"/>
      <c r="M1215" s="259"/>
      <c r="N1215" s="63"/>
      <c r="O1215" s="56"/>
      <c r="P1215" s="56"/>
    </row>
    <row r="1216" spans="1:16">
      <c r="A1216" s="226"/>
      <c r="B1216" s="162" t="s">
        <v>352</v>
      </c>
      <c r="C1216" s="60"/>
      <c r="D1216" s="170"/>
      <c r="E1216" s="53"/>
      <c r="F1216" s="53"/>
      <c r="G1216" s="53"/>
      <c r="H1216" s="53"/>
      <c r="I1216" s="53"/>
      <c r="J1216" s="305"/>
      <c r="K1216" s="305"/>
      <c r="M1216" s="259"/>
      <c r="N1216" s="63"/>
      <c r="O1216" s="56"/>
      <c r="P1216" s="56"/>
    </row>
    <row r="1217" spans="1:16">
      <c r="A1217" s="226"/>
      <c r="B1217" s="162" t="s">
        <v>329</v>
      </c>
      <c r="C1217" s="60"/>
      <c r="D1217" s="170"/>
      <c r="E1217" s="53"/>
      <c r="F1217" s="53"/>
      <c r="G1217" s="53"/>
      <c r="H1217" s="53">
        <f>I1217</f>
        <v>2980000</v>
      </c>
      <c r="I1217" s="53">
        <v>2980000</v>
      </c>
      <c r="J1217" s="305"/>
      <c r="K1217" s="305"/>
      <c r="M1217" s="259"/>
      <c r="N1217" s="63"/>
      <c r="O1217" s="56"/>
      <c r="P1217" s="56"/>
    </row>
    <row r="1218" spans="1:16">
      <c r="A1218" s="226"/>
      <c r="B1218" s="162" t="s">
        <v>330</v>
      </c>
      <c r="C1218" s="60"/>
      <c r="D1218" s="170"/>
      <c r="E1218" s="53"/>
      <c r="F1218" s="53"/>
      <c r="G1218" s="53"/>
      <c r="H1218" s="53">
        <f>I1218</f>
        <v>2980000</v>
      </c>
      <c r="I1218" s="53">
        <v>2980000</v>
      </c>
      <c r="J1218" s="305"/>
      <c r="K1218" s="305"/>
      <c r="M1218" s="259"/>
      <c r="N1218" s="63"/>
      <c r="O1218" s="56"/>
      <c r="P1218" s="56"/>
    </row>
    <row r="1219" spans="1:16" s="9" customFormat="1" ht="38.25">
      <c r="A1219" s="68">
        <v>26</v>
      </c>
      <c r="B1219" s="219" t="s">
        <v>382</v>
      </c>
      <c r="C1219" s="60" t="s">
        <v>21</v>
      </c>
      <c r="D1219" s="68" t="s">
        <v>309</v>
      </c>
      <c r="E1219" s="74"/>
      <c r="F1219" s="140"/>
      <c r="G1219" s="140">
        <v>260000</v>
      </c>
      <c r="H1219" s="113"/>
      <c r="I1219" s="113"/>
      <c r="J1219" s="275"/>
      <c r="K1219" s="7"/>
      <c r="M1219" s="275"/>
      <c r="N1219" s="63"/>
      <c r="O1219" s="56"/>
      <c r="P1219" s="56"/>
    </row>
    <row r="1220" spans="1:16">
      <c r="A1220" s="226"/>
      <c r="B1220" s="162" t="s">
        <v>215</v>
      </c>
      <c r="C1220" s="60"/>
      <c r="D1220" s="170"/>
      <c r="E1220" s="53"/>
      <c r="F1220" s="53"/>
      <c r="G1220" s="53"/>
      <c r="H1220" s="53"/>
      <c r="I1220" s="53"/>
      <c r="J1220" s="305"/>
      <c r="K1220" s="305"/>
      <c r="M1220" s="259"/>
      <c r="N1220" s="63"/>
      <c r="O1220" s="56"/>
      <c r="P1220" s="56"/>
    </row>
    <row r="1221" spans="1:16">
      <c r="A1221" s="226"/>
      <c r="B1221" s="162" t="s">
        <v>216</v>
      </c>
      <c r="C1221" s="60"/>
      <c r="D1221" s="170"/>
      <c r="E1221" s="53"/>
      <c r="F1221" s="53"/>
      <c r="G1221" s="53"/>
      <c r="H1221" s="53">
        <f>I1221</f>
        <v>12000</v>
      </c>
      <c r="I1221" s="53">
        <v>12000</v>
      </c>
      <c r="J1221" s="305"/>
      <c r="K1221" s="305"/>
      <c r="M1221" s="259"/>
      <c r="N1221" s="63"/>
      <c r="O1221" s="56"/>
      <c r="P1221" s="56"/>
    </row>
    <row r="1222" spans="1:16">
      <c r="A1222" s="226"/>
      <c r="B1222" s="162" t="s">
        <v>217</v>
      </c>
      <c r="C1222" s="60"/>
      <c r="D1222" s="170"/>
      <c r="E1222" s="53"/>
      <c r="F1222" s="53"/>
      <c r="G1222" s="53"/>
      <c r="H1222" s="53">
        <f>I1222</f>
        <v>0</v>
      </c>
      <c r="I1222" s="53">
        <f>(G1219-I1221)/2-I1224</f>
        <v>0</v>
      </c>
      <c r="J1222" s="305"/>
      <c r="K1222" s="305"/>
      <c r="M1222" s="259"/>
      <c r="N1222" s="63"/>
      <c r="O1222" s="56"/>
      <c r="P1222" s="56"/>
    </row>
    <row r="1223" spans="1:16">
      <c r="A1223" s="226"/>
      <c r="B1223" s="162" t="s">
        <v>352</v>
      </c>
      <c r="C1223" s="60"/>
      <c r="D1223" s="170"/>
      <c r="E1223" s="53"/>
      <c r="F1223" s="53"/>
      <c r="G1223" s="53"/>
      <c r="H1223" s="53">
        <f>I1223</f>
        <v>0</v>
      </c>
      <c r="I1223" s="53">
        <f>I1222</f>
        <v>0</v>
      </c>
      <c r="J1223" s="305"/>
      <c r="K1223" s="305"/>
      <c r="M1223" s="259"/>
      <c r="N1223" s="63"/>
      <c r="O1223" s="56"/>
      <c r="P1223" s="56"/>
    </row>
    <row r="1224" spans="1:16">
      <c r="A1224" s="226"/>
      <c r="B1224" s="162" t="s">
        <v>329</v>
      </c>
      <c r="C1224" s="60"/>
      <c r="D1224" s="170"/>
      <c r="E1224" s="53"/>
      <c r="F1224" s="53"/>
      <c r="G1224" s="53"/>
      <c r="H1224" s="53">
        <f>I1224</f>
        <v>124000</v>
      </c>
      <c r="I1224" s="53">
        <v>124000</v>
      </c>
      <c r="J1224" s="305"/>
      <c r="K1224" s="305"/>
      <c r="M1224" s="259"/>
      <c r="N1224" s="63"/>
      <c r="O1224" s="56"/>
      <c r="P1224" s="56"/>
    </row>
    <row r="1225" spans="1:16">
      <c r="A1225" s="226"/>
      <c r="B1225" s="162" t="s">
        <v>330</v>
      </c>
      <c r="C1225" s="60"/>
      <c r="D1225" s="170"/>
      <c r="E1225" s="53"/>
      <c r="F1225" s="53"/>
      <c r="G1225" s="53"/>
      <c r="H1225" s="53">
        <f>I1225</f>
        <v>124000</v>
      </c>
      <c r="I1225" s="53">
        <v>124000</v>
      </c>
      <c r="J1225" s="305"/>
      <c r="K1225" s="305"/>
      <c r="M1225" s="259"/>
      <c r="N1225" s="63"/>
      <c r="O1225" s="56"/>
      <c r="P1225" s="56"/>
    </row>
    <row r="1226" spans="1:16" ht="25.5">
      <c r="A1226" s="31"/>
      <c r="B1226" s="44" t="s">
        <v>223</v>
      </c>
      <c r="C1226" s="343"/>
      <c r="D1226" s="46"/>
      <c r="E1226" s="47"/>
      <c r="F1226" s="47"/>
      <c r="G1226" s="47"/>
      <c r="H1226" s="48"/>
      <c r="I1226" s="49"/>
      <c r="J1226" s="286"/>
      <c r="K1226" s="269"/>
      <c r="M1226" s="286"/>
      <c r="N1226" s="63"/>
      <c r="O1226" s="56"/>
      <c r="P1226" s="56"/>
    </row>
    <row r="1227" spans="1:16">
      <c r="A1227" s="31"/>
      <c r="B1227" s="44" t="s">
        <v>86</v>
      </c>
      <c r="C1227" s="343"/>
      <c r="D1227" s="46"/>
      <c r="E1227" s="47"/>
      <c r="F1227" s="47"/>
      <c r="G1227" s="47"/>
      <c r="H1227" s="49">
        <f t="shared" ref="H1227:H1232" si="208">H1045+H1052+H1059+H1066+H1073+H1080+H1087+H1094+H1101+H1108+H1115+H1122+H1129+H1136+H1143+H1150+H1157+H1164+H1171+H1178+H1185+H1192+H1199+H1206+H1213+H1220</f>
        <v>735521.3</v>
      </c>
      <c r="I1227" s="49">
        <f t="shared" ref="I1227:I1232" si="209">I1045+I1052+I1059+I1066+I1073+I1080+I1087+I1094+I1101+I1108+I1115+I1122+I1129+I1136+I1143+I1150+I1157+I1164+I1171+I1178+I1185+I1192+I1199+I1206+I1213+I1220</f>
        <v>735521.3</v>
      </c>
      <c r="J1227" s="286">
        <f>J1045+J1052+J1059+J1066+J1073+J1080+J1087+J1094+J1101+J1108+J1115+J1122+J1129+J1136+J1143+J1150+J1157+J1164+J1171+J1178+J1185+J1192+J1199+J1206+J1213+J1220</f>
        <v>0</v>
      </c>
      <c r="K1227" s="286" t="e">
        <f>#REF!+#REF!+#REF!+#REF!+#REF!+#REF!+#REF!+#REF!+#REF!+#REF!+#REF!+#REF!+#REF!+#REF!+#REF!+#REF!+#REF!+#REF!+#REF!+#REF!</f>
        <v>#REF!</v>
      </c>
      <c r="M1227" s="286"/>
      <c r="N1227" s="63"/>
      <c r="O1227" s="56"/>
      <c r="P1227" s="56"/>
    </row>
    <row r="1228" spans="1:16">
      <c r="A1228" s="31"/>
      <c r="B1228" s="44" t="s">
        <v>85</v>
      </c>
      <c r="C1228" s="343"/>
      <c r="D1228" s="46"/>
      <c r="E1228" s="46"/>
      <c r="F1228" s="47"/>
      <c r="G1228" s="47"/>
      <c r="H1228" s="49">
        <f t="shared" si="208"/>
        <v>1624221.7</v>
      </c>
      <c r="I1228" s="49">
        <f t="shared" si="209"/>
        <v>1624221.7</v>
      </c>
      <c r="J1228" s="286">
        <f t="shared" ref="J1228:J1232" si="210">J1046+J1053+J1060+J1067+J1074+J1081+J1088+J1095+J1102+J1109+J1116+J1123+J1130+J1137+J1144+J1151+J1158+J1165+J1172+J1179+J1186+J1193+J1200+J1207+J1214+J1221</f>
        <v>0</v>
      </c>
      <c r="K1228" s="269">
        <f>J1228-'[1]капстр (с краевыми)'!$J$240</f>
        <v>-310400</v>
      </c>
      <c r="M1228" s="286"/>
      <c r="N1228" s="63"/>
      <c r="O1228" s="56"/>
      <c r="P1228" s="56"/>
    </row>
    <row r="1229" spans="1:16">
      <c r="A1229" s="31"/>
      <c r="B1229" s="44" t="s">
        <v>87</v>
      </c>
      <c r="C1229" s="343"/>
      <c r="D1229" s="46"/>
      <c r="E1229" s="46"/>
      <c r="F1229" s="47"/>
      <c r="G1229" s="47"/>
      <c r="H1229" s="49">
        <f t="shared" si="208"/>
        <v>143842</v>
      </c>
      <c r="I1229" s="49">
        <f t="shared" si="209"/>
        <v>143842</v>
      </c>
      <c r="J1229" s="286">
        <f t="shared" si="210"/>
        <v>0</v>
      </c>
      <c r="K1229" s="269">
        <f>J1229-'[1]капстр (с краевыми)'!$J$241</f>
        <v>-310400</v>
      </c>
      <c r="M1229" s="286"/>
      <c r="N1229" s="63"/>
      <c r="O1229" s="56"/>
      <c r="P1229" s="56"/>
    </row>
    <row r="1230" spans="1:16">
      <c r="A1230" s="31"/>
      <c r="B1230" s="44" t="s">
        <v>31</v>
      </c>
      <c r="C1230" s="343"/>
      <c r="D1230" s="46"/>
      <c r="E1230" s="46"/>
      <c r="F1230" s="47"/>
      <c r="G1230" s="47"/>
      <c r="H1230" s="49">
        <f t="shared" si="208"/>
        <v>0</v>
      </c>
      <c r="I1230" s="49">
        <f t="shared" si="209"/>
        <v>0</v>
      </c>
      <c r="J1230" s="286">
        <f t="shared" si="210"/>
        <v>0</v>
      </c>
      <c r="K1230" s="269">
        <v>560000</v>
      </c>
      <c r="M1230" s="286"/>
      <c r="N1230" s="63"/>
      <c r="O1230" s="56"/>
      <c r="P1230" s="56"/>
    </row>
    <row r="1231" spans="1:16">
      <c r="A1231" s="31"/>
      <c r="B1231" s="44" t="s">
        <v>32</v>
      </c>
      <c r="C1231" s="343"/>
      <c r="D1231" s="46"/>
      <c r="E1231" s="46"/>
      <c r="F1231" s="47"/>
      <c r="G1231" s="47"/>
      <c r="H1231" s="49">
        <f t="shared" si="208"/>
        <v>5646817.04</v>
      </c>
      <c r="I1231" s="49">
        <f t="shared" si="209"/>
        <v>5646817.04</v>
      </c>
      <c r="J1231" s="286">
        <f t="shared" si="210"/>
        <v>0</v>
      </c>
      <c r="K1231" s="272">
        <v>600000</v>
      </c>
      <c r="M1231" s="286"/>
      <c r="N1231" s="63"/>
      <c r="O1231" s="56"/>
      <c r="P1231" s="56"/>
    </row>
    <row r="1232" spans="1:16">
      <c r="A1232" s="31"/>
      <c r="B1232" s="44" t="s">
        <v>33</v>
      </c>
      <c r="C1232" s="343"/>
      <c r="D1232" s="46"/>
      <c r="E1232" s="46"/>
      <c r="F1232" s="47"/>
      <c r="G1232" s="47"/>
      <c r="H1232" s="49">
        <f t="shared" si="208"/>
        <v>5151498.7</v>
      </c>
      <c r="I1232" s="49">
        <f t="shared" si="209"/>
        <v>5151498.7</v>
      </c>
      <c r="J1232" s="286">
        <f t="shared" si="210"/>
        <v>0</v>
      </c>
      <c r="K1232" s="272">
        <v>710000</v>
      </c>
      <c r="M1232" s="286"/>
      <c r="N1232" s="63"/>
      <c r="O1232" s="56"/>
      <c r="P1232" s="56"/>
    </row>
    <row r="1233" spans="1:16">
      <c r="A1233" s="73"/>
      <c r="B1233" s="67" t="s">
        <v>19</v>
      </c>
      <c r="C1233" s="346"/>
      <c r="D1233" s="134"/>
      <c r="E1233" s="134"/>
      <c r="F1233" s="134"/>
      <c r="G1233" s="136"/>
      <c r="H1233" s="137"/>
      <c r="I1233" s="137"/>
      <c r="J1233" s="287"/>
      <c r="M1233" s="259"/>
      <c r="N1233" s="63"/>
      <c r="O1233" s="56"/>
      <c r="P1233" s="56"/>
    </row>
    <row r="1234" spans="1:16" ht="25.5">
      <c r="A1234" s="68">
        <v>1</v>
      </c>
      <c r="B1234" s="179" t="s">
        <v>114</v>
      </c>
      <c r="C1234" s="348"/>
      <c r="D1234" s="68">
        <v>-2011</v>
      </c>
      <c r="E1234" s="74"/>
      <c r="F1234" s="80"/>
      <c r="G1234" s="113"/>
      <c r="H1234" s="113"/>
      <c r="I1234" s="113"/>
      <c r="J1234" s="275"/>
      <c r="M1234" s="286"/>
      <c r="N1234" s="63"/>
      <c r="O1234" s="56"/>
      <c r="P1234" s="56"/>
    </row>
    <row r="1235" spans="1:16">
      <c r="A1235" s="68"/>
      <c r="B1235" s="72" t="s">
        <v>86</v>
      </c>
      <c r="C1235" s="60"/>
      <c r="D1235" s="68"/>
      <c r="E1235" s="74"/>
      <c r="F1235" s="182"/>
      <c r="G1235" s="183"/>
      <c r="H1235" s="66">
        <f t="shared" ref="H1235:H1240" si="211">I1235+J1235</f>
        <v>45300</v>
      </c>
      <c r="I1235" s="95">
        <v>45300</v>
      </c>
      <c r="J1235" s="268"/>
      <c r="M1235" s="259"/>
      <c r="N1235" s="63"/>
      <c r="O1235" s="56"/>
      <c r="P1235" s="56"/>
    </row>
    <row r="1236" spans="1:16">
      <c r="A1236" s="68"/>
      <c r="B1236" s="72" t="s">
        <v>85</v>
      </c>
      <c r="C1236" s="60"/>
      <c r="D1236" s="68"/>
      <c r="E1236" s="74"/>
      <c r="F1236" s="182"/>
      <c r="G1236" s="184"/>
      <c r="H1236" s="66">
        <f t="shared" si="211"/>
        <v>54885.599999999999</v>
      </c>
      <c r="I1236" s="95">
        <v>54885.599999999999</v>
      </c>
      <c r="J1236" s="268"/>
      <c r="M1236" s="259"/>
      <c r="N1236" s="63"/>
      <c r="O1236" s="56"/>
      <c r="P1236" s="56"/>
    </row>
    <row r="1237" spans="1:16">
      <c r="A1237" s="68"/>
      <c r="B1237" s="72" t="s">
        <v>87</v>
      </c>
      <c r="C1237" s="60"/>
      <c r="D1237" s="68"/>
      <c r="E1237" s="74"/>
      <c r="F1237" s="182"/>
      <c r="G1237" s="184"/>
      <c r="H1237" s="66">
        <f t="shared" si="211"/>
        <v>0</v>
      </c>
      <c r="I1237" s="95"/>
      <c r="J1237" s="268"/>
      <c r="M1237" s="259"/>
      <c r="N1237" s="63"/>
      <c r="O1237" s="56"/>
      <c r="P1237" s="56"/>
    </row>
    <row r="1238" spans="1:16">
      <c r="A1238" s="68"/>
      <c r="B1238" s="72" t="s">
        <v>31</v>
      </c>
      <c r="C1238" s="60"/>
      <c r="D1238" s="68"/>
      <c r="E1238" s="74"/>
      <c r="F1238" s="55"/>
      <c r="G1238" s="95"/>
      <c r="H1238" s="66">
        <f t="shared" si="211"/>
        <v>0</v>
      </c>
      <c r="I1238" s="95"/>
      <c r="J1238" s="268"/>
      <c r="M1238" s="259"/>
      <c r="N1238" s="63"/>
      <c r="O1238" s="56"/>
      <c r="P1238" s="56"/>
    </row>
    <row r="1239" spans="1:16">
      <c r="A1239" s="68"/>
      <c r="B1239" s="72" t="s">
        <v>32</v>
      </c>
      <c r="C1239" s="60"/>
      <c r="D1239" s="68"/>
      <c r="E1239" s="74"/>
      <c r="F1239" s="92"/>
      <c r="G1239" s="95"/>
      <c r="H1239" s="66">
        <f t="shared" si="211"/>
        <v>0</v>
      </c>
      <c r="I1239" s="95"/>
      <c r="J1239" s="268"/>
      <c r="M1239" s="259"/>
      <c r="N1239" s="63"/>
      <c r="O1239" s="56"/>
      <c r="P1239" s="56"/>
    </row>
    <row r="1240" spans="1:16">
      <c r="A1240" s="68"/>
      <c r="B1240" s="72" t="s">
        <v>33</v>
      </c>
      <c r="C1240" s="60"/>
      <c r="D1240" s="68"/>
      <c r="E1240" s="74"/>
      <c r="F1240" s="92"/>
      <c r="G1240" s="95"/>
      <c r="H1240" s="66">
        <f t="shared" si="211"/>
        <v>0</v>
      </c>
      <c r="I1240" s="95"/>
      <c r="J1240" s="268"/>
      <c r="M1240" s="259"/>
      <c r="N1240" s="63"/>
      <c r="O1240" s="56"/>
      <c r="P1240" s="56"/>
    </row>
    <row r="1241" spans="1:16" ht="30.75" customHeight="1">
      <c r="A1241" s="68">
        <v>2</v>
      </c>
      <c r="B1241" s="85" t="s">
        <v>115</v>
      </c>
      <c r="C1241" s="60"/>
      <c r="D1241" s="68">
        <v>-2010</v>
      </c>
      <c r="E1241" s="68"/>
      <c r="F1241" s="88"/>
      <c r="G1241" s="215"/>
      <c r="H1241" s="113"/>
      <c r="I1241" s="113"/>
      <c r="J1241" s="275"/>
      <c r="M1241" s="286"/>
      <c r="N1241" s="63"/>
      <c r="O1241" s="56"/>
      <c r="P1241" s="56"/>
    </row>
    <row r="1242" spans="1:16">
      <c r="A1242" s="68"/>
      <c r="B1242" s="72" t="s">
        <v>86</v>
      </c>
      <c r="C1242" s="60"/>
      <c r="D1242" s="159"/>
      <c r="E1242" s="68"/>
      <c r="F1242" s="88"/>
      <c r="G1242" s="215"/>
      <c r="H1242" s="66">
        <f t="shared" ref="H1242:H1247" si="212">I1242+J1242</f>
        <v>25000</v>
      </c>
      <c r="I1242" s="113">
        <v>25000</v>
      </c>
      <c r="J1242" s="275"/>
      <c r="M1242" s="259"/>
      <c r="N1242" s="63"/>
      <c r="O1242" s="56"/>
      <c r="P1242" s="56"/>
    </row>
    <row r="1243" spans="1:16">
      <c r="A1243" s="68"/>
      <c r="B1243" s="72" t="s">
        <v>85</v>
      </c>
      <c r="C1243" s="60"/>
      <c r="D1243" s="159"/>
      <c r="E1243" s="68"/>
      <c r="F1243" s="68"/>
      <c r="G1243" s="215"/>
      <c r="H1243" s="66">
        <f t="shared" si="212"/>
        <v>0</v>
      </c>
      <c r="I1243" s="113"/>
      <c r="J1243" s="275"/>
      <c r="M1243" s="259"/>
      <c r="N1243" s="63"/>
      <c r="O1243" s="56"/>
      <c r="P1243" s="56"/>
    </row>
    <row r="1244" spans="1:16">
      <c r="A1244" s="68"/>
      <c r="B1244" s="72" t="s">
        <v>87</v>
      </c>
      <c r="C1244" s="60"/>
      <c r="D1244" s="159"/>
      <c r="E1244" s="68"/>
      <c r="F1244" s="68"/>
      <c r="G1244" s="215"/>
      <c r="H1244" s="66">
        <f t="shared" si="212"/>
        <v>0</v>
      </c>
      <c r="I1244" s="113"/>
      <c r="J1244" s="275"/>
      <c r="M1244" s="259"/>
      <c r="N1244" s="63"/>
      <c r="O1244" s="56"/>
      <c r="P1244" s="56"/>
    </row>
    <row r="1245" spans="1:16">
      <c r="A1245" s="68"/>
      <c r="B1245" s="72" t="s">
        <v>31</v>
      </c>
      <c r="C1245" s="60"/>
      <c r="D1245" s="159"/>
      <c r="E1245" s="68"/>
      <c r="F1245" s="68"/>
      <c r="G1245" s="215"/>
      <c r="H1245" s="66">
        <f t="shared" si="212"/>
        <v>0</v>
      </c>
      <c r="I1245" s="113"/>
      <c r="J1245" s="275"/>
      <c r="M1245" s="259"/>
      <c r="N1245" s="63"/>
      <c r="O1245" s="56"/>
      <c r="P1245" s="56"/>
    </row>
    <row r="1246" spans="1:16">
      <c r="A1246" s="68"/>
      <c r="B1246" s="72" t="s">
        <v>32</v>
      </c>
      <c r="C1246" s="60"/>
      <c r="D1246" s="159"/>
      <c r="E1246" s="68"/>
      <c r="F1246" s="68"/>
      <c r="G1246" s="160"/>
      <c r="H1246" s="66">
        <f t="shared" si="212"/>
        <v>0</v>
      </c>
      <c r="I1246" s="113"/>
      <c r="J1246" s="275"/>
      <c r="M1246" s="259"/>
      <c r="N1246" s="63"/>
      <c r="O1246" s="56"/>
      <c r="P1246" s="56"/>
    </row>
    <row r="1247" spans="1:16">
      <c r="A1247" s="68"/>
      <c r="B1247" s="72" t="s">
        <v>33</v>
      </c>
      <c r="C1247" s="60"/>
      <c r="D1247" s="159"/>
      <c r="E1247" s="68"/>
      <c r="F1247" s="68"/>
      <c r="G1247" s="215"/>
      <c r="H1247" s="66">
        <f t="shared" si="212"/>
        <v>0</v>
      </c>
      <c r="I1247" s="113"/>
      <c r="J1247" s="275"/>
      <c r="M1247" s="259"/>
      <c r="N1247" s="63"/>
      <c r="O1247" s="56"/>
      <c r="P1247" s="56"/>
    </row>
    <row r="1248" spans="1:16" ht="25.5">
      <c r="A1248" s="31"/>
      <c r="B1248" s="44" t="s">
        <v>314</v>
      </c>
      <c r="C1248" s="343"/>
      <c r="D1248" s="46"/>
      <c r="E1248" s="47"/>
      <c r="F1248" s="47"/>
      <c r="G1248" s="47"/>
      <c r="H1248" s="48"/>
      <c r="I1248" s="49"/>
      <c r="J1248" s="286"/>
      <c r="K1248" s="269"/>
      <c r="M1248" s="286"/>
      <c r="N1248" s="63"/>
      <c r="O1248" s="56"/>
      <c r="P1248" s="56"/>
    </row>
    <row r="1249" spans="1:16">
      <c r="A1249" s="31"/>
      <c r="B1249" s="44" t="s">
        <v>86</v>
      </c>
      <c r="C1249" s="343"/>
      <c r="D1249" s="46"/>
      <c r="E1249" s="47"/>
      <c r="F1249" s="47"/>
      <c r="G1249" s="47"/>
      <c r="H1249" s="49">
        <f>H1242+H1235</f>
        <v>70300</v>
      </c>
      <c r="I1249" s="49">
        <f>I1242+I1235</f>
        <v>70300</v>
      </c>
      <c r="J1249" s="286">
        <f>J1242+J1235</f>
        <v>0</v>
      </c>
      <c r="K1249" s="286" t="e">
        <f>#REF!+K1242+#REF!</f>
        <v>#REF!</v>
      </c>
      <c r="M1249" s="286"/>
      <c r="N1249" s="63"/>
      <c r="O1249" s="56"/>
      <c r="P1249" s="56"/>
    </row>
    <row r="1250" spans="1:16">
      <c r="A1250" s="31"/>
      <c r="B1250" s="44" t="s">
        <v>85</v>
      </c>
      <c r="C1250" s="343"/>
      <c r="D1250" s="46"/>
      <c r="E1250" s="46"/>
      <c r="F1250" s="47"/>
      <c r="G1250" s="47"/>
      <c r="H1250" s="49">
        <f t="shared" ref="H1250" si="213">H1243+H1236</f>
        <v>54885.599999999999</v>
      </c>
      <c r="I1250" s="49">
        <f t="shared" ref="I1250:J1250" si="214">I1243+I1236</f>
        <v>54885.599999999999</v>
      </c>
      <c r="J1250" s="286">
        <f t="shared" si="214"/>
        <v>0</v>
      </c>
      <c r="K1250" s="269">
        <f>J1250-'[1]капстр (с краевыми)'!$J$240</f>
        <v>-310400</v>
      </c>
      <c r="M1250" s="286"/>
      <c r="N1250" s="63"/>
      <c r="O1250" s="56"/>
      <c r="P1250" s="56"/>
    </row>
    <row r="1251" spans="1:16">
      <c r="A1251" s="31"/>
      <c r="B1251" s="44" t="s">
        <v>87</v>
      </c>
      <c r="C1251" s="343"/>
      <c r="D1251" s="46"/>
      <c r="E1251" s="46"/>
      <c r="F1251" s="47"/>
      <c r="G1251" s="47"/>
      <c r="H1251" s="49">
        <f t="shared" ref="H1251" si="215">H1244+H1237</f>
        <v>0</v>
      </c>
      <c r="I1251" s="49">
        <f t="shared" ref="I1251:J1251" si="216">I1244+I1237</f>
        <v>0</v>
      </c>
      <c r="J1251" s="286">
        <f t="shared" si="216"/>
        <v>0</v>
      </c>
      <c r="K1251" s="269">
        <f>J1251-'[1]капстр (с краевыми)'!$J$241</f>
        <v>-310400</v>
      </c>
      <c r="M1251" s="286"/>
      <c r="N1251" s="63"/>
      <c r="O1251" s="56"/>
      <c r="P1251" s="56"/>
    </row>
    <row r="1252" spans="1:16">
      <c r="A1252" s="31"/>
      <c r="B1252" s="44" t="s">
        <v>31</v>
      </c>
      <c r="C1252" s="343"/>
      <c r="D1252" s="46"/>
      <c r="E1252" s="46"/>
      <c r="F1252" s="47"/>
      <c r="G1252" s="47"/>
      <c r="H1252" s="49">
        <f t="shared" ref="H1252" si="217">H1245+H1238</f>
        <v>0</v>
      </c>
      <c r="I1252" s="49">
        <f t="shared" ref="I1252:J1252" si="218">I1245+I1238</f>
        <v>0</v>
      </c>
      <c r="J1252" s="286">
        <f t="shared" si="218"/>
        <v>0</v>
      </c>
      <c r="K1252" s="269">
        <v>560000</v>
      </c>
      <c r="M1252" s="286"/>
      <c r="N1252" s="63"/>
      <c r="O1252" s="56"/>
      <c r="P1252" s="56"/>
    </row>
    <row r="1253" spans="1:16">
      <c r="A1253" s="31"/>
      <c r="B1253" s="44" t="s">
        <v>32</v>
      </c>
      <c r="C1253" s="343"/>
      <c r="D1253" s="46"/>
      <c r="E1253" s="46"/>
      <c r="F1253" s="47"/>
      <c r="G1253" s="47"/>
      <c r="H1253" s="49">
        <f t="shared" ref="H1253" si="219">H1246+H1239</f>
        <v>0</v>
      </c>
      <c r="I1253" s="49">
        <f t="shared" ref="I1253:J1253" si="220">I1246+I1239</f>
        <v>0</v>
      </c>
      <c r="J1253" s="286">
        <f t="shared" si="220"/>
        <v>0</v>
      </c>
      <c r="K1253" s="272">
        <v>600000</v>
      </c>
      <c r="M1253" s="286"/>
      <c r="N1253" s="63"/>
      <c r="O1253" s="56"/>
      <c r="P1253" s="56"/>
    </row>
    <row r="1254" spans="1:16">
      <c r="A1254" s="31"/>
      <c r="B1254" s="44" t="s">
        <v>33</v>
      </c>
      <c r="C1254" s="343"/>
      <c r="D1254" s="46"/>
      <c r="E1254" s="46"/>
      <c r="F1254" s="47"/>
      <c r="G1254" s="47"/>
      <c r="H1254" s="49">
        <f t="shared" ref="H1254" si="221">H1247+H1240</f>
        <v>0</v>
      </c>
      <c r="I1254" s="49">
        <f t="shared" ref="I1254:J1254" si="222">I1247+I1240</f>
        <v>0</v>
      </c>
      <c r="J1254" s="286">
        <f t="shared" si="222"/>
        <v>0</v>
      </c>
      <c r="K1254" s="272">
        <v>710000</v>
      </c>
      <c r="M1254" s="286"/>
      <c r="N1254" s="63"/>
      <c r="O1254" s="56"/>
      <c r="P1254" s="56"/>
    </row>
    <row r="1255" spans="1:16">
      <c r="A1255" s="73"/>
      <c r="B1255" s="67" t="s">
        <v>17</v>
      </c>
      <c r="C1255" s="346"/>
      <c r="D1255" s="134"/>
      <c r="E1255" s="134"/>
      <c r="F1255" s="134"/>
      <c r="G1255" s="136"/>
      <c r="H1255" s="137"/>
      <c r="I1255" s="137"/>
      <c r="J1255" s="287"/>
      <c r="M1255" s="259"/>
      <c r="N1255" s="63"/>
      <c r="O1255" s="56"/>
      <c r="P1255" s="56"/>
    </row>
    <row r="1256" spans="1:16" ht="38.25">
      <c r="A1256" s="68">
        <v>1</v>
      </c>
      <c r="B1256" s="93" t="s">
        <v>77</v>
      </c>
      <c r="C1256" s="60" t="s">
        <v>76</v>
      </c>
      <c r="D1256" s="68">
        <v>-2010</v>
      </c>
      <c r="E1256" s="74"/>
      <c r="F1256" s="80"/>
      <c r="G1256" s="113"/>
      <c r="H1256" s="113"/>
      <c r="I1256" s="113"/>
      <c r="J1256" s="275"/>
      <c r="M1256" s="286"/>
      <c r="N1256" s="63"/>
      <c r="O1256" s="56"/>
      <c r="P1256" s="56"/>
    </row>
    <row r="1257" spans="1:16">
      <c r="A1257" s="68"/>
      <c r="B1257" s="72" t="s">
        <v>86</v>
      </c>
      <c r="C1257" s="60"/>
      <c r="D1257" s="68"/>
      <c r="E1257" s="74"/>
      <c r="F1257" s="182"/>
      <c r="G1257" s="183"/>
      <c r="H1257" s="66">
        <f t="shared" ref="H1257:H1262" si="223">I1257+J1257</f>
        <v>720</v>
      </c>
      <c r="I1257" s="95">
        <v>720</v>
      </c>
      <c r="J1257" s="268"/>
      <c r="M1257" s="259"/>
      <c r="N1257" s="63"/>
      <c r="O1257" s="56"/>
      <c r="P1257" s="56"/>
    </row>
    <row r="1258" spans="1:16">
      <c r="A1258" s="68"/>
      <c r="B1258" s="72" t="s">
        <v>85</v>
      </c>
      <c r="C1258" s="60"/>
      <c r="D1258" s="68"/>
      <c r="E1258" s="74"/>
      <c r="F1258" s="182"/>
      <c r="G1258" s="184"/>
      <c r="H1258" s="66">
        <f t="shared" si="223"/>
        <v>0</v>
      </c>
      <c r="I1258" s="95"/>
      <c r="J1258" s="268"/>
      <c r="M1258" s="259"/>
      <c r="N1258" s="63"/>
      <c r="O1258" s="56"/>
      <c r="P1258" s="56"/>
    </row>
    <row r="1259" spans="1:16">
      <c r="A1259" s="68"/>
      <c r="B1259" s="72" t="s">
        <v>87</v>
      </c>
      <c r="C1259" s="60"/>
      <c r="D1259" s="68"/>
      <c r="E1259" s="74"/>
      <c r="F1259" s="182"/>
      <c r="G1259" s="184"/>
      <c r="H1259" s="66">
        <f t="shared" si="223"/>
        <v>0</v>
      </c>
      <c r="I1259" s="95"/>
      <c r="J1259" s="268"/>
      <c r="M1259" s="259"/>
      <c r="N1259" s="63"/>
      <c r="O1259" s="56"/>
      <c r="P1259" s="56"/>
    </row>
    <row r="1260" spans="1:16">
      <c r="A1260" s="68"/>
      <c r="B1260" s="72" t="s">
        <v>31</v>
      </c>
      <c r="C1260" s="60"/>
      <c r="D1260" s="68"/>
      <c r="E1260" s="74"/>
      <c r="F1260" s="55"/>
      <c r="G1260" s="95"/>
      <c r="H1260" s="66">
        <f t="shared" si="223"/>
        <v>0</v>
      </c>
      <c r="I1260" s="95"/>
      <c r="J1260" s="268"/>
      <c r="M1260" s="259"/>
      <c r="N1260" s="63"/>
      <c r="O1260" s="56"/>
      <c r="P1260" s="56"/>
    </row>
    <row r="1261" spans="1:16">
      <c r="A1261" s="68"/>
      <c r="B1261" s="72" t="s">
        <v>32</v>
      </c>
      <c r="C1261" s="60"/>
      <c r="D1261" s="68"/>
      <c r="E1261" s="74"/>
      <c r="F1261" s="92"/>
      <c r="G1261" s="95"/>
      <c r="H1261" s="66">
        <f t="shared" si="223"/>
        <v>0</v>
      </c>
      <c r="I1261" s="95"/>
      <c r="J1261" s="268"/>
      <c r="M1261" s="259"/>
      <c r="N1261" s="63"/>
      <c r="O1261" s="56"/>
      <c r="P1261" s="56"/>
    </row>
    <row r="1262" spans="1:16">
      <c r="A1262" s="68"/>
      <c r="B1262" s="72" t="s">
        <v>33</v>
      </c>
      <c r="C1262" s="60"/>
      <c r="D1262" s="68"/>
      <c r="E1262" s="74"/>
      <c r="F1262" s="92"/>
      <c r="G1262" s="95"/>
      <c r="H1262" s="66">
        <f t="shared" si="223"/>
        <v>0</v>
      </c>
      <c r="I1262" s="95"/>
      <c r="J1262" s="268"/>
      <c r="M1262" s="259"/>
      <c r="N1262" s="63"/>
      <c r="O1262" s="56"/>
      <c r="P1262" s="56"/>
    </row>
    <row r="1263" spans="1:16" ht="25.5">
      <c r="A1263" s="31"/>
      <c r="B1263" s="44" t="s">
        <v>224</v>
      </c>
      <c r="C1263" s="343"/>
      <c r="D1263" s="46"/>
      <c r="E1263" s="47"/>
      <c r="F1263" s="47"/>
      <c r="G1263" s="47"/>
      <c r="H1263" s="48"/>
      <c r="I1263" s="49"/>
      <c r="J1263" s="286"/>
      <c r="K1263" s="269"/>
      <c r="M1263" s="286"/>
      <c r="N1263" s="63"/>
      <c r="O1263" s="56"/>
      <c r="P1263" s="56"/>
    </row>
    <row r="1264" spans="1:16">
      <c r="A1264" s="31"/>
      <c r="B1264" s="44" t="s">
        <v>86</v>
      </c>
      <c r="C1264" s="343"/>
      <c r="D1264" s="46"/>
      <c r="E1264" s="47"/>
      <c r="F1264" s="47"/>
      <c r="G1264" s="47"/>
      <c r="H1264" s="49">
        <f>H1257</f>
        <v>720</v>
      </c>
      <c r="I1264" s="49">
        <f>I1257</f>
        <v>720</v>
      </c>
      <c r="J1264" s="286">
        <f>J1257</f>
        <v>0</v>
      </c>
      <c r="K1264" s="286">
        <f>K1243+K1257+K1236</f>
        <v>0</v>
      </c>
      <c r="M1264" s="286"/>
      <c r="N1264" s="63"/>
      <c r="O1264" s="56"/>
      <c r="P1264" s="56"/>
    </row>
    <row r="1265" spans="1:16">
      <c r="A1265" s="31"/>
      <c r="B1265" s="44" t="s">
        <v>85</v>
      </c>
      <c r="C1265" s="343"/>
      <c r="D1265" s="46"/>
      <c r="E1265" s="46"/>
      <c r="F1265" s="47"/>
      <c r="G1265" s="47"/>
      <c r="H1265" s="49">
        <f t="shared" ref="H1265" si="224">H1258</f>
        <v>0</v>
      </c>
      <c r="I1265" s="49">
        <f t="shared" ref="I1265:J1269" si="225">I1258</f>
        <v>0</v>
      </c>
      <c r="J1265" s="286">
        <f t="shared" si="225"/>
        <v>0</v>
      </c>
      <c r="K1265" s="269">
        <f>J1265-'[1]капстр (с краевыми)'!$J$240</f>
        <v>-310400</v>
      </c>
      <c r="M1265" s="286"/>
      <c r="N1265" s="63"/>
      <c r="O1265" s="56"/>
      <c r="P1265" s="56"/>
    </row>
    <row r="1266" spans="1:16">
      <c r="A1266" s="31"/>
      <c r="B1266" s="44" t="s">
        <v>87</v>
      </c>
      <c r="C1266" s="343"/>
      <c r="D1266" s="46"/>
      <c r="E1266" s="46"/>
      <c r="F1266" s="47"/>
      <c r="G1266" s="47"/>
      <c r="H1266" s="49">
        <f t="shared" ref="H1266" si="226">H1259</f>
        <v>0</v>
      </c>
      <c r="I1266" s="49">
        <f t="shared" si="225"/>
        <v>0</v>
      </c>
      <c r="J1266" s="286">
        <f t="shared" si="225"/>
        <v>0</v>
      </c>
      <c r="K1266" s="269">
        <f>J1266-'[1]капстр (с краевыми)'!$J$241</f>
        <v>-310400</v>
      </c>
      <c r="M1266" s="286"/>
      <c r="N1266" s="63"/>
      <c r="O1266" s="56"/>
      <c r="P1266" s="56"/>
    </row>
    <row r="1267" spans="1:16">
      <c r="A1267" s="31"/>
      <c r="B1267" s="44" t="s">
        <v>31</v>
      </c>
      <c r="C1267" s="343"/>
      <c r="D1267" s="46"/>
      <c r="E1267" s="46"/>
      <c r="F1267" s="47"/>
      <c r="G1267" s="47"/>
      <c r="H1267" s="49">
        <f t="shared" ref="H1267" si="227">H1260</f>
        <v>0</v>
      </c>
      <c r="I1267" s="49">
        <f t="shared" si="225"/>
        <v>0</v>
      </c>
      <c r="J1267" s="286">
        <f t="shared" si="225"/>
        <v>0</v>
      </c>
      <c r="K1267" s="269">
        <v>560000</v>
      </c>
      <c r="M1267" s="286"/>
      <c r="N1267" s="63"/>
      <c r="O1267" s="56"/>
      <c r="P1267" s="56"/>
    </row>
    <row r="1268" spans="1:16">
      <c r="A1268" s="31"/>
      <c r="B1268" s="44" t="s">
        <v>32</v>
      </c>
      <c r="C1268" s="343"/>
      <c r="D1268" s="46"/>
      <c r="E1268" s="46"/>
      <c r="F1268" s="47"/>
      <c r="G1268" s="47"/>
      <c r="H1268" s="49">
        <f t="shared" ref="H1268" si="228">H1261</f>
        <v>0</v>
      </c>
      <c r="I1268" s="49">
        <f t="shared" si="225"/>
        <v>0</v>
      </c>
      <c r="J1268" s="286">
        <f t="shared" si="225"/>
        <v>0</v>
      </c>
      <c r="K1268" s="272">
        <v>600000</v>
      </c>
      <c r="M1268" s="286"/>
      <c r="N1268" s="63"/>
      <c r="O1268" s="56"/>
      <c r="P1268" s="56"/>
    </row>
    <row r="1269" spans="1:16">
      <c r="A1269" s="31"/>
      <c r="B1269" s="44" t="s">
        <v>33</v>
      </c>
      <c r="C1269" s="343"/>
      <c r="D1269" s="46"/>
      <c r="E1269" s="46"/>
      <c r="F1269" s="47"/>
      <c r="G1269" s="47"/>
      <c r="H1269" s="49">
        <f t="shared" ref="H1269" si="229">H1262</f>
        <v>0</v>
      </c>
      <c r="I1269" s="49">
        <f t="shared" si="225"/>
        <v>0</v>
      </c>
      <c r="J1269" s="286">
        <f t="shared" si="225"/>
        <v>0</v>
      </c>
      <c r="K1269" s="272">
        <v>710000</v>
      </c>
      <c r="M1269" s="286"/>
      <c r="N1269" s="63"/>
      <c r="O1269" s="56"/>
      <c r="P1269" s="56"/>
    </row>
    <row r="1270" spans="1:16" ht="63">
      <c r="A1270" s="73"/>
      <c r="B1270" s="67" t="s">
        <v>20</v>
      </c>
      <c r="C1270" s="346"/>
      <c r="D1270" s="134"/>
      <c r="E1270" s="134"/>
      <c r="F1270" s="134"/>
      <c r="G1270" s="136"/>
      <c r="H1270" s="137"/>
      <c r="I1270" s="137"/>
      <c r="J1270" s="287"/>
      <c r="M1270" s="259"/>
      <c r="N1270" s="63"/>
      <c r="O1270" s="56"/>
      <c r="P1270" s="56"/>
    </row>
    <row r="1271" spans="1:16" ht="25.5">
      <c r="A1271" s="68">
        <v>1</v>
      </c>
      <c r="B1271" s="179" t="s">
        <v>120</v>
      </c>
      <c r="C1271" s="351">
        <v>100410</v>
      </c>
      <c r="D1271" s="68" t="s">
        <v>308</v>
      </c>
      <c r="E1271" s="74"/>
      <c r="F1271" s="80"/>
      <c r="G1271" s="113"/>
      <c r="H1271" s="113"/>
      <c r="I1271" s="113"/>
      <c r="J1271" s="275"/>
      <c r="M1271" s="286"/>
      <c r="N1271" s="63"/>
      <c r="O1271" s="56"/>
      <c r="P1271" s="56"/>
    </row>
    <row r="1272" spans="1:16">
      <c r="A1272" s="68"/>
      <c r="B1272" s="72" t="s">
        <v>86</v>
      </c>
      <c r="C1272" s="60"/>
      <c r="D1272" s="68"/>
      <c r="E1272" s="74"/>
      <c r="F1272" s="182"/>
      <c r="G1272" s="95">
        <v>103636.6</v>
      </c>
      <c r="H1272" s="66">
        <f t="shared" ref="H1272:H1277" si="230">I1272+J1272</f>
        <v>20000</v>
      </c>
      <c r="I1272" s="95">
        <v>20000</v>
      </c>
      <c r="J1272" s="268"/>
      <c r="M1272" s="259"/>
      <c r="N1272" s="63"/>
      <c r="O1272" s="56"/>
      <c r="P1272" s="56"/>
    </row>
    <row r="1273" spans="1:16">
      <c r="A1273" s="68"/>
      <c r="B1273" s="72" t="s">
        <v>85</v>
      </c>
      <c r="C1273" s="60"/>
      <c r="D1273" s="68"/>
      <c r="E1273" s="74"/>
      <c r="F1273" s="182"/>
      <c r="G1273" s="95">
        <v>83913.5</v>
      </c>
      <c r="H1273" s="66">
        <f t="shared" si="230"/>
        <v>50000</v>
      </c>
      <c r="I1273" s="95">
        <v>50000</v>
      </c>
      <c r="J1273" s="268"/>
      <c r="M1273" s="259"/>
      <c r="N1273" s="63"/>
      <c r="O1273" s="56"/>
      <c r="P1273" s="56"/>
    </row>
    <row r="1274" spans="1:16">
      <c r="A1274" s="68"/>
      <c r="B1274" s="72" t="s">
        <v>87</v>
      </c>
      <c r="C1274" s="60"/>
      <c r="D1274" s="68"/>
      <c r="E1274" s="74"/>
      <c r="F1274" s="182"/>
      <c r="G1274" s="95">
        <v>33636.6</v>
      </c>
      <c r="H1274" s="66">
        <f t="shared" si="230"/>
        <v>33636.6</v>
      </c>
      <c r="I1274" s="95">
        <v>33636.6</v>
      </c>
      <c r="J1274" s="268"/>
      <c r="M1274" s="259"/>
      <c r="N1274" s="63"/>
      <c r="O1274" s="56"/>
      <c r="P1274" s="56"/>
    </row>
    <row r="1275" spans="1:16">
      <c r="A1275" s="68"/>
      <c r="B1275" s="72" t="s">
        <v>31</v>
      </c>
      <c r="C1275" s="60"/>
      <c r="D1275" s="68"/>
      <c r="E1275" s="74"/>
      <c r="F1275" s="55"/>
      <c r="G1275" s="95"/>
      <c r="H1275" s="66">
        <f t="shared" si="230"/>
        <v>0</v>
      </c>
      <c r="I1275" s="95"/>
      <c r="J1275" s="268"/>
      <c r="M1275" s="259"/>
      <c r="N1275" s="63"/>
      <c r="O1275" s="56"/>
      <c r="P1275" s="56"/>
    </row>
    <row r="1276" spans="1:16">
      <c r="A1276" s="68"/>
      <c r="B1276" s="72" t="s">
        <v>32</v>
      </c>
      <c r="C1276" s="60"/>
      <c r="D1276" s="68"/>
      <c r="E1276" s="74"/>
      <c r="F1276" s="92"/>
      <c r="G1276" s="113"/>
      <c r="H1276" s="66">
        <f t="shared" si="230"/>
        <v>0</v>
      </c>
      <c r="I1276" s="113"/>
      <c r="J1276" s="275"/>
      <c r="M1276" s="259"/>
      <c r="N1276" s="63"/>
      <c r="O1276" s="56"/>
      <c r="P1276" s="56"/>
    </row>
    <row r="1277" spans="1:16">
      <c r="A1277" s="68"/>
      <c r="B1277" s="72" t="s">
        <v>33</v>
      </c>
      <c r="C1277" s="60"/>
      <c r="D1277" s="68"/>
      <c r="E1277" s="74"/>
      <c r="F1277" s="92"/>
      <c r="G1277" s="95"/>
      <c r="H1277" s="66">
        <f t="shared" si="230"/>
        <v>0</v>
      </c>
      <c r="I1277" s="95"/>
      <c r="J1277" s="268"/>
      <c r="M1277" s="259"/>
      <c r="N1277" s="63"/>
      <c r="O1277" s="56"/>
      <c r="P1277" s="56"/>
    </row>
    <row r="1278" spans="1:16" ht="38.25">
      <c r="A1278" s="68">
        <v>2</v>
      </c>
      <c r="B1278" s="179" t="s">
        <v>113</v>
      </c>
      <c r="C1278" s="351"/>
      <c r="D1278" s="68" t="s">
        <v>79</v>
      </c>
      <c r="E1278" s="74"/>
      <c r="F1278" s="80"/>
      <c r="G1278" s="113"/>
      <c r="H1278" s="113"/>
      <c r="I1278" s="113"/>
      <c r="J1278" s="275"/>
      <c r="M1278" s="286"/>
      <c r="N1278" s="63"/>
      <c r="O1278" s="56"/>
      <c r="P1278" s="56"/>
    </row>
    <row r="1279" spans="1:16">
      <c r="A1279" s="68"/>
      <c r="B1279" s="72" t="s">
        <v>86</v>
      </c>
      <c r="C1279" s="60"/>
      <c r="D1279" s="68"/>
      <c r="E1279" s="74"/>
      <c r="F1279" s="182"/>
      <c r="G1279" s="95">
        <v>128748.2</v>
      </c>
      <c r="H1279" s="66">
        <f t="shared" ref="H1279:H1284" si="231">I1279+J1279</f>
        <v>21500</v>
      </c>
      <c r="I1279" s="95">
        <v>21500</v>
      </c>
      <c r="J1279" s="268"/>
      <c r="M1279" s="259"/>
      <c r="N1279" s="63"/>
      <c r="O1279" s="56"/>
      <c r="P1279" s="56"/>
    </row>
    <row r="1280" spans="1:16">
      <c r="A1280" s="68"/>
      <c r="B1280" s="72" t="s">
        <v>85</v>
      </c>
      <c r="C1280" s="60"/>
      <c r="D1280" s="68"/>
      <c r="E1280" s="74"/>
      <c r="F1280" s="182"/>
      <c r="G1280" s="95">
        <v>107248.2</v>
      </c>
      <c r="H1280" s="66">
        <f t="shared" si="231"/>
        <v>60000</v>
      </c>
      <c r="I1280" s="95">
        <v>60000</v>
      </c>
      <c r="J1280" s="268"/>
      <c r="M1280" s="259"/>
      <c r="N1280" s="63"/>
      <c r="O1280" s="56"/>
      <c r="P1280" s="56"/>
    </row>
    <row r="1281" spans="1:16">
      <c r="A1281" s="68"/>
      <c r="B1281" s="72" t="s">
        <v>87</v>
      </c>
      <c r="C1281" s="60"/>
      <c r="D1281" s="68"/>
      <c r="E1281" s="74"/>
      <c r="F1281" s="182"/>
      <c r="G1281" s="95">
        <v>47248.2</v>
      </c>
      <c r="H1281" s="66">
        <f t="shared" si="231"/>
        <v>47248.2</v>
      </c>
      <c r="I1281" s="95">
        <v>47248.2</v>
      </c>
      <c r="J1281" s="268"/>
      <c r="M1281" s="259"/>
      <c r="N1281" s="63"/>
      <c r="O1281" s="56"/>
      <c r="P1281" s="56"/>
    </row>
    <row r="1282" spans="1:16">
      <c r="A1282" s="68"/>
      <c r="B1282" s="72" t="s">
        <v>31</v>
      </c>
      <c r="C1282" s="60"/>
      <c r="D1282" s="68"/>
      <c r="E1282" s="74"/>
      <c r="F1282" s="55"/>
      <c r="G1282" s="95"/>
      <c r="H1282" s="66">
        <f t="shared" si="231"/>
        <v>0</v>
      </c>
      <c r="I1282" s="95"/>
      <c r="J1282" s="268"/>
      <c r="M1282" s="259"/>
      <c r="N1282" s="63"/>
      <c r="O1282" s="56"/>
      <c r="P1282" s="56"/>
    </row>
    <row r="1283" spans="1:16">
      <c r="A1283" s="68"/>
      <c r="B1283" s="72" t="s">
        <v>32</v>
      </c>
      <c r="C1283" s="60"/>
      <c r="D1283" s="68"/>
      <c r="E1283" s="74"/>
      <c r="F1283" s="92"/>
      <c r="G1283" s="113"/>
      <c r="H1283" s="66">
        <f t="shared" si="231"/>
        <v>0</v>
      </c>
      <c r="I1283" s="113"/>
      <c r="J1283" s="275"/>
      <c r="M1283" s="259"/>
      <c r="N1283" s="63"/>
      <c r="O1283" s="56"/>
      <c r="P1283" s="56"/>
    </row>
    <row r="1284" spans="1:16">
      <c r="A1284" s="68"/>
      <c r="B1284" s="72" t="s">
        <v>33</v>
      </c>
      <c r="C1284" s="60"/>
      <c r="D1284" s="68"/>
      <c r="E1284" s="74"/>
      <c r="F1284" s="92"/>
      <c r="G1284" s="95"/>
      <c r="H1284" s="66">
        <f t="shared" si="231"/>
        <v>0</v>
      </c>
      <c r="I1284" s="95"/>
      <c r="J1284" s="268"/>
      <c r="M1284" s="259"/>
      <c r="N1284" s="63"/>
      <c r="O1284" s="56"/>
      <c r="P1284" s="56"/>
    </row>
    <row r="1285" spans="1:16" ht="38.25">
      <c r="A1285" s="68">
        <v>3</v>
      </c>
      <c r="B1285" s="93" t="s">
        <v>112</v>
      </c>
      <c r="C1285" s="351"/>
      <c r="D1285" s="68">
        <v>-2012</v>
      </c>
      <c r="E1285" s="74"/>
      <c r="F1285" s="80"/>
      <c r="G1285" s="113"/>
      <c r="H1285" s="113"/>
      <c r="I1285" s="113"/>
      <c r="J1285" s="275"/>
      <c r="M1285" s="286"/>
      <c r="N1285" s="63"/>
      <c r="O1285" s="56"/>
      <c r="P1285" s="56"/>
    </row>
    <row r="1286" spans="1:16">
      <c r="A1286" s="68"/>
      <c r="B1286" s="72" t="s">
        <v>86</v>
      </c>
      <c r="C1286" s="60"/>
      <c r="D1286" s="68"/>
      <c r="E1286" s="74"/>
      <c r="F1286" s="182"/>
      <c r="G1286" s="231">
        <v>126611.4</v>
      </c>
      <c r="H1286" s="66">
        <f t="shared" ref="H1286:H1291" si="232">I1286+J1286</f>
        <v>30000</v>
      </c>
      <c r="I1286" s="122">
        <v>30000</v>
      </c>
      <c r="J1286" s="268"/>
      <c r="M1286" s="259"/>
      <c r="N1286" s="63"/>
      <c r="O1286" s="56"/>
      <c r="P1286" s="56"/>
    </row>
    <row r="1287" spans="1:16">
      <c r="A1287" s="68"/>
      <c r="B1287" s="72" t="s">
        <v>85</v>
      </c>
      <c r="C1287" s="60"/>
      <c r="D1287" s="68"/>
      <c r="E1287" s="74"/>
      <c r="F1287" s="182"/>
      <c r="G1287" s="95">
        <v>96611.4</v>
      </c>
      <c r="H1287" s="66">
        <f t="shared" si="232"/>
        <v>60000</v>
      </c>
      <c r="I1287" s="122">
        <v>60000</v>
      </c>
      <c r="J1287" s="268"/>
      <c r="M1287" s="259"/>
      <c r="N1287" s="63"/>
      <c r="O1287" s="56"/>
      <c r="P1287" s="56"/>
    </row>
    <row r="1288" spans="1:16">
      <c r="A1288" s="68"/>
      <c r="B1288" s="72" t="s">
        <v>87</v>
      </c>
      <c r="C1288" s="60"/>
      <c r="D1288" s="68"/>
      <c r="E1288" s="74"/>
      <c r="F1288" s="182"/>
      <c r="G1288" s="95">
        <v>36611.4</v>
      </c>
      <c r="H1288" s="66">
        <f t="shared" si="232"/>
        <v>36611.599999999999</v>
      </c>
      <c r="I1288" s="122">
        <v>36611.599999999999</v>
      </c>
      <c r="J1288" s="268"/>
      <c r="M1288" s="259"/>
      <c r="N1288" s="63"/>
      <c r="O1288" s="56"/>
      <c r="P1288" s="56"/>
    </row>
    <row r="1289" spans="1:16">
      <c r="A1289" s="68"/>
      <c r="B1289" s="72" t="s">
        <v>31</v>
      </c>
      <c r="C1289" s="60"/>
      <c r="D1289" s="68"/>
      <c r="E1289" s="74"/>
      <c r="F1289" s="55"/>
      <c r="G1289" s="95"/>
      <c r="H1289" s="66">
        <f t="shared" si="232"/>
        <v>0</v>
      </c>
      <c r="I1289" s="95"/>
      <c r="J1289" s="268"/>
      <c r="M1289" s="259"/>
      <c r="N1289" s="63"/>
      <c r="O1289" s="56"/>
      <c r="P1289" s="56"/>
    </row>
    <row r="1290" spans="1:16">
      <c r="A1290" s="68"/>
      <c r="B1290" s="72" t="s">
        <v>32</v>
      </c>
      <c r="C1290" s="60"/>
      <c r="D1290" s="68"/>
      <c r="E1290" s="74"/>
      <c r="F1290" s="92"/>
      <c r="G1290" s="95"/>
      <c r="H1290" s="66">
        <f t="shared" si="232"/>
        <v>0</v>
      </c>
      <c r="I1290" s="95"/>
      <c r="J1290" s="275"/>
      <c r="M1290" s="259"/>
      <c r="N1290" s="63"/>
      <c r="O1290" s="56"/>
      <c r="P1290" s="56"/>
    </row>
    <row r="1291" spans="1:16">
      <c r="A1291" s="68"/>
      <c r="B1291" s="72" t="s">
        <v>33</v>
      </c>
      <c r="C1291" s="60"/>
      <c r="D1291" s="68"/>
      <c r="E1291" s="74"/>
      <c r="F1291" s="92"/>
      <c r="G1291" s="95"/>
      <c r="H1291" s="66">
        <f t="shared" si="232"/>
        <v>0</v>
      </c>
      <c r="I1291" s="95"/>
      <c r="J1291" s="268"/>
      <c r="M1291" s="259"/>
      <c r="N1291" s="63"/>
      <c r="O1291" s="56"/>
      <c r="P1291" s="56"/>
    </row>
    <row r="1292" spans="1:16" ht="38.25">
      <c r="A1292" s="31"/>
      <c r="B1292" s="44" t="s">
        <v>313</v>
      </c>
      <c r="C1292" s="343"/>
      <c r="D1292" s="46"/>
      <c r="E1292" s="47"/>
      <c r="F1292" s="47"/>
      <c r="G1292" s="47"/>
      <c r="H1292" s="48"/>
      <c r="I1292" s="49"/>
      <c r="J1292" s="286"/>
      <c r="K1292" s="269"/>
      <c r="M1292" s="286"/>
      <c r="N1292" s="63"/>
      <c r="O1292" s="56"/>
      <c r="P1292" s="56"/>
    </row>
    <row r="1293" spans="1:16">
      <c r="A1293" s="31"/>
      <c r="B1293" s="44" t="s">
        <v>86</v>
      </c>
      <c r="C1293" s="343"/>
      <c r="D1293" s="46"/>
      <c r="E1293" s="47"/>
      <c r="F1293" s="47"/>
      <c r="G1293" s="47"/>
      <c r="H1293" s="49">
        <f>H1279+H1286+H1272</f>
        <v>71500</v>
      </c>
      <c r="I1293" s="49">
        <f>I1279+I1286+I1272</f>
        <v>71500</v>
      </c>
      <c r="J1293" s="286">
        <f t="shared" ref="J1293:K1293" si="233">J1279+J1286+J1272</f>
        <v>0</v>
      </c>
      <c r="K1293" s="286">
        <f t="shared" si="233"/>
        <v>0</v>
      </c>
      <c r="M1293" s="286"/>
      <c r="N1293" s="63"/>
      <c r="O1293" s="56"/>
      <c r="P1293" s="56"/>
    </row>
    <row r="1294" spans="1:16">
      <c r="A1294" s="31"/>
      <c r="B1294" s="44" t="s">
        <v>85</v>
      </c>
      <c r="C1294" s="343"/>
      <c r="D1294" s="46"/>
      <c r="E1294" s="46"/>
      <c r="F1294" s="47"/>
      <c r="G1294" s="47"/>
      <c r="H1294" s="49">
        <f t="shared" ref="H1294" si="234">H1280+H1287+H1273</f>
        <v>170000</v>
      </c>
      <c r="I1294" s="49">
        <f t="shared" ref="I1294:J1294" si="235">I1280+I1287+I1273</f>
        <v>170000</v>
      </c>
      <c r="J1294" s="286">
        <f t="shared" si="235"/>
        <v>0</v>
      </c>
      <c r="K1294" s="269">
        <f>J1294-'[1]капстр (с краевыми)'!$J$240</f>
        <v>-310400</v>
      </c>
      <c r="M1294" s="286"/>
      <c r="N1294" s="63"/>
      <c r="O1294" s="56"/>
      <c r="P1294" s="56"/>
    </row>
    <row r="1295" spans="1:16">
      <c r="A1295" s="31"/>
      <c r="B1295" s="44" t="s">
        <v>87</v>
      </c>
      <c r="C1295" s="343"/>
      <c r="D1295" s="46"/>
      <c r="E1295" s="46"/>
      <c r="F1295" s="47"/>
      <c r="G1295" s="47"/>
      <c r="H1295" s="49">
        <f t="shared" ref="H1295" si="236">H1281+H1288+H1274</f>
        <v>117496.4</v>
      </c>
      <c r="I1295" s="49">
        <f t="shared" ref="I1295:J1295" si="237">I1281+I1288+I1274</f>
        <v>117496.4</v>
      </c>
      <c r="J1295" s="286">
        <f t="shared" si="237"/>
        <v>0</v>
      </c>
      <c r="K1295" s="269">
        <f>J1295-'[1]капстр (с краевыми)'!$J$241</f>
        <v>-310400</v>
      </c>
      <c r="M1295" s="286"/>
      <c r="N1295" s="63"/>
      <c r="O1295" s="56"/>
      <c r="P1295" s="56"/>
    </row>
    <row r="1296" spans="1:16">
      <c r="A1296" s="31"/>
      <c r="B1296" s="44" t="s">
        <v>31</v>
      </c>
      <c r="C1296" s="343"/>
      <c r="D1296" s="46"/>
      <c r="E1296" s="46"/>
      <c r="F1296" s="47"/>
      <c r="G1296" s="47"/>
      <c r="H1296" s="49">
        <f t="shared" ref="H1296" si="238">H1282+H1289+H1275</f>
        <v>0</v>
      </c>
      <c r="I1296" s="49">
        <f t="shared" ref="I1296:J1296" si="239">I1282+I1289+I1275</f>
        <v>0</v>
      </c>
      <c r="J1296" s="286">
        <f t="shared" si="239"/>
        <v>0</v>
      </c>
      <c r="K1296" s="269">
        <v>560000</v>
      </c>
      <c r="M1296" s="286"/>
      <c r="N1296" s="63"/>
      <c r="O1296" s="56"/>
      <c r="P1296" s="56"/>
    </row>
    <row r="1297" spans="1:16">
      <c r="A1297" s="31"/>
      <c r="B1297" s="44" t="s">
        <v>32</v>
      </c>
      <c r="C1297" s="343"/>
      <c r="D1297" s="46"/>
      <c r="E1297" s="46"/>
      <c r="F1297" s="47"/>
      <c r="G1297" s="47"/>
      <c r="H1297" s="49">
        <f t="shared" ref="H1297" si="240">H1283+H1290+H1276</f>
        <v>0</v>
      </c>
      <c r="I1297" s="49">
        <f t="shared" ref="I1297:J1297" si="241">I1283+I1290+I1276</f>
        <v>0</v>
      </c>
      <c r="J1297" s="286">
        <f t="shared" si="241"/>
        <v>0</v>
      </c>
      <c r="K1297" s="272">
        <v>600000</v>
      </c>
      <c r="M1297" s="286"/>
      <c r="N1297" s="63"/>
      <c r="O1297" s="56"/>
      <c r="P1297" s="56"/>
    </row>
    <row r="1298" spans="1:16">
      <c r="A1298" s="31"/>
      <c r="B1298" s="44" t="s">
        <v>33</v>
      </c>
      <c r="C1298" s="343"/>
      <c r="D1298" s="46"/>
      <c r="E1298" s="46"/>
      <c r="F1298" s="47"/>
      <c r="G1298" s="47"/>
      <c r="H1298" s="49">
        <f t="shared" ref="H1298" si="242">H1284+H1291+H1277</f>
        <v>0</v>
      </c>
      <c r="I1298" s="49">
        <f t="shared" ref="I1298:J1298" si="243">I1284+I1291+I1277</f>
        <v>0</v>
      </c>
      <c r="J1298" s="286">
        <f t="shared" si="243"/>
        <v>0</v>
      </c>
      <c r="K1298" s="272">
        <v>710000</v>
      </c>
      <c r="M1298" s="286"/>
      <c r="N1298" s="63"/>
      <c r="O1298" s="56"/>
      <c r="P1298" s="56"/>
    </row>
    <row r="1299" spans="1:16" ht="31.5">
      <c r="A1299" s="73"/>
      <c r="B1299" s="67" t="s">
        <v>18</v>
      </c>
      <c r="C1299" s="346"/>
      <c r="D1299" s="134"/>
      <c r="E1299" s="134"/>
      <c r="F1299" s="134"/>
      <c r="G1299" s="136"/>
      <c r="H1299" s="137"/>
      <c r="I1299" s="137"/>
      <c r="J1299" s="287"/>
      <c r="M1299" s="259"/>
      <c r="N1299" s="63"/>
      <c r="O1299" s="56"/>
      <c r="P1299" s="56"/>
    </row>
    <row r="1300" spans="1:16" ht="121.5" customHeight="1">
      <c r="A1300" s="202">
        <v>1</v>
      </c>
      <c r="B1300" s="232" t="s">
        <v>358</v>
      </c>
      <c r="C1300" s="254"/>
      <c r="D1300" s="202"/>
      <c r="E1300" s="202"/>
      <c r="F1300" s="202"/>
      <c r="G1300" s="204"/>
      <c r="H1300" s="95"/>
      <c r="I1300" s="95"/>
      <c r="J1300" s="268"/>
      <c r="M1300" s="286"/>
      <c r="N1300" s="63"/>
      <c r="O1300" s="56"/>
      <c r="P1300" s="56"/>
    </row>
    <row r="1301" spans="1:16">
      <c r="A1301" s="202"/>
      <c r="B1301" s="72" t="s">
        <v>86</v>
      </c>
      <c r="C1301" s="254"/>
      <c r="D1301" s="202"/>
      <c r="E1301" s="202"/>
      <c r="F1301" s="202"/>
      <c r="G1301" s="204"/>
      <c r="H1301" s="66">
        <f t="shared" ref="H1301:H1306" si="244">I1301+J1301</f>
        <v>38000</v>
      </c>
      <c r="I1301" s="95">
        <v>38000</v>
      </c>
      <c r="J1301" s="268"/>
      <c r="M1301" s="259"/>
      <c r="N1301" s="63"/>
      <c r="O1301" s="56"/>
      <c r="P1301" s="56"/>
    </row>
    <row r="1302" spans="1:16">
      <c r="A1302" s="202"/>
      <c r="B1302" s="72" t="s">
        <v>85</v>
      </c>
      <c r="C1302" s="254"/>
      <c r="D1302" s="202"/>
      <c r="E1302" s="202"/>
      <c r="F1302" s="202"/>
      <c r="G1302" s="204"/>
      <c r="H1302" s="66">
        <f t="shared" si="244"/>
        <v>130000</v>
      </c>
      <c r="I1302" s="95">
        <v>130000</v>
      </c>
      <c r="J1302" s="268"/>
      <c r="M1302" s="259"/>
      <c r="N1302" s="63"/>
      <c r="O1302" s="56"/>
      <c r="P1302" s="56"/>
    </row>
    <row r="1303" spans="1:16">
      <c r="A1303" s="202"/>
      <c r="B1303" s="72" t="s">
        <v>87</v>
      </c>
      <c r="C1303" s="254"/>
      <c r="D1303" s="202"/>
      <c r="E1303" s="202"/>
      <c r="F1303" s="202"/>
      <c r="G1303" s="204"/>
      <c r="H1303" s="66">
        <f t="shared" si="244"/>
        <v>139970</v>
      </c>
      <c r="I1303" s="95">
        <v>139970</v>
      </c>
      <c r="J1303" s="268"/>
      <c r="M1303" s="259"/>
      <c r="N1303" s="63"/>
      <c r="O1303" s="56"/>
      <c r="P1303" s="56"/>
    </row>
    <row r="1304" spans="1:16">
      <c r="A1304" s="202"/>
      <c r="B1304" s="72" t="s">
        <v>31</v>
      </c>
      <c r="C1304" s="254"/>
      <c r="D1304" s="202"/>
      <c r="E1304" s="202"/>
      <c r="F1304" s="202"/>
      <c r="G1304" s="204"/>
      <c r="H1304" s="66">
        <f t="shared" si="244"/>
        <v>0</v>
      </c>
      <c r="I1304" s="95"/>
      <c r="J1304" s="268"/>
      <c r="M1304" s="259"/>
      <c r="N1304" s="63"/>
      <c r="O1304" s="56"/>
      <c r="P1304" s="56"/>
    </row>
    <row r="1305" spans="1:16">
      <c r="A1305" s="202"/>
      <c r="B1305" s="72" t="s">
        <v>32</v>
      </c>
      <c r="C1305" s="254"/>
      <c r="D1305" s="202"/>
      <c r="E1305" s="202"/>
      <c r="F1305" s="202"/>
      <c r="G1305" s="204"/>
      <c r="H1305" s="66">
        <f t="shared" si="244"/>
        <v>0</v>
      </c>
      <c r="I1305" s="95"/>
      <c r="J1305" s="268"/>
      <c r="M1305" s="259"/>
      <c r="N1305" s="63"/>
      <c r="O1305" s="56"/>
      <c r="P1305" s="56"/>
    </row>
    <row r="1306" spans="1:16">
      <c r="A1306" s="202"/>
      <c r="B1306" s="72" t="s">
        <v>33</v>
      </c>
      <c r="C1306" s="254"/>
      <c r="D1306" s="202"/>
      <c r="E1306" s="202"/>
      <c r="F1306" s="202"/>
      <c r="G1306" s="204"/>
      <c r="H1306" s="66">
        <f t="shared" si="244"/>
        <v>0</v>
      </c>
      <c r="I1306" s="95"/>
      <c r="J1306" s="268"/>
      <c r="M1306" s="259"/>
      <c r="N1306" s="63"/>
      <c r="O1306" s="56"/>
      <c r="P1306" s="56"/>
    </row>
    <row r="1307" spans="1:16" ht="127.5">
      <c r="A1307" s="202">
        <v>2</v>
      </c>
      <c r="B1307" s="232" t="s">
        <v>359</v>
      </c>
      <c r="C1307" s="254"/>
      <c r="D1307" s="202"/>
      <c r="E1307" s="202"/>
      <c r="F1307" s="202"/>
      <c r="G1307" s="204"/>
      <c r="H1307" s="95"/>
      <c r="I1307" s="95"/>
      <c r="J1307" s="268"/>
      <c r="M1307" s="286"/>
      <c r="N1307" s="63"/>
      <c r="O1307" s="56"/>
      <c r="P1307" s="56"/>
    </row>
    <row r="1308" spans="1:16">
      <c r="A1308" s="202"/>
      <c r="B1308" s="72" t="s">
        <v>86</v>
      </c>
      <c r="C1308" s="254"/>
      <c r="D1308" s="202"/>
      <c r="E1308" s="202"/>
      <c r="F1308" s="202"/>
      <c r="G1308" s="204"/>
      <c r="H1308" s="66">
        <f t="shared" ref="H1308:H1313" si="245">I1308+J1308</f>
        <v>0</v>
      </c>
      <c r="I1308" s="95">
        <v>0</v>
      </c>
      <c r="J1308" s="268"/>
      <c r="M1308" s="259"/>
      <c r="N1308" s="63"/>
      <c r="O1308" s="56"/>
      <c r="P1308" s="56"/>
    </row>
    <row r="1309" spans="1:16">
      <c r="A1309" s="202"/>
      <c r="B1309" s="72" t="s">
        <v>85</v>
      </c>
      <c r="C1309" s="254"/>
      <c r="D1309" s="202"/>
      <c r="E1309" s="202"/>
      <c r="F1309" s="202"/>
      <c r="G1309" s="204"/>
      <c r="H1309" s="66">
        <f t="shared" si="245"/>
        <v>69680</v>
      </c>
      <c r="I1309" s="95">
        <v>69680</v>
      </c>
      <c r="J1309" s="268"/>
      <c r="M1309" s="259"/>
      <c r="N1309" s="63"/>
      <c r="O1309" s="56"/>
      <c r="P1309" s="56"/>
    </row>
    <row r="1310" spans="1:16">
      <c r="A1310" s="202"/>
      <c r="B1310" s="72" t="s">
        <v>87</v>
      </c>
      <c r="C1310" s="254"/>
      <c r="D1310" s="202"/>
      <c r="E1310" s="202"/>
      <c r="F1310" s="202"/>
      <c r="G1310" s="204"/>
      <c r="H1310" s="66">
        <f t="shared" si="245"/>
        <v>0</v>
      </c>
      <c r="I1310" s="95"/>
      <c r="J1310" s="268"/>
      <c r="M1310" s="259"/>
      <c r="N1310" s="63"/>
      <c r="O1310" s="56"/>
      <c r="P1310" s="56"/>
    </row>
    <row r="1311" spans="1:16">
      <c r="A1311" s="202"/>
      <c r="B1311" s="72" t="s">
        <v>31</v>
      </c>
      <c r="C1311" s="254"/>
      <c r="D1311" s="202"/>
      <c r="E1311" s="202"/>
      <c r="F1311" s="202"/>
      <c r="G1311" s="204"/>
      <c r="H1311" s="66">
        <f t="shared" si="245"/>
        <v>0</v>
      </c>
      <c r="I1311" s="95"/>
      <c r="J1311" s="268"/>
      <c r="M1311" s="259"/>
      <c r="N1311" s="63"/>
      <c r="O1311" s="56"/>
      <c r="P1311" s="56"/>
    </row>
    <row r="1312" spans="1:16">
      <c r="A1312" s="202"/>
      <c r="B1312" s="72" t="s">
        <v>32</v>
      </c>
      <c r="C1312" s="254"/>
      <c r="D1312" s="202"/>
      <c r="E1312" s="202"/>
      <c r="F1312" s="202"/>
      <c r="G1312" s="204"/>
      <c r="H1312" s="66">
        <f t="shared" si="245"/>
        <v>0</v>
      </c>
      <c r="I1312" s="95"/>
      <c r="J1312" s="268"/>
      <c r="M1312" s="259"/>
      <c r="N1312" s="63"/>
      <c r="O1312" s="56"/>
      <c r="P1312" s="56"/>
    </row>
    <row r="1313" spans="1:16">
      <c r="A1313" s="202"/>
      <c r="B1313" s="72" t="s">
        <v>33</v>
      </c>
      <c r="C1313" s="254"/>
      <c r="D1313" s="202"/>
      <c r="E1313" s="202"/>
      <c r="F1313" s="202"/>
      <c r="G1313" s="204"/>
      <c r="H1313" s="66">
        <f t="shared" si="245"/>
        <v>0</v>
      </c>
      <c r="I1313" s="95"/>
      <c r="J1313" s="268"/>
      <c r="M1313" s="259"/>
      <c r="N1313" s="63"/>
      <c r="O1313" s="56"/>
      <c r="P1313" s="56"/>
    </row>
    <row r="1314" spans="1:16" ht="25.5">
      <c r="A1314" s="31"/>
      <c r="B1314" s="44" t="s">
        <v>267</v>
      </c>
      <c r="C1314" s="343"/>
      <c r="D1314" s="46"/>
      <c r="E1314" s="47"/>
      <c r="F1314" s="47"/>
      <c r="G1314" s="47"/>
      <c r="H1314" s="48"/>
      <c r="I1314" s="49"/>
      <c r="J1314" s="286"/>
      <c r="K1314" s="269"/>
      <c r="M1314" s="286"/>
      <c r="N1314" s="63"/>
      <c r="O1314" s="56"/>
      <c r="P1314" s="56"/>
    </row>
    <row r="1315" spans="1:16">
      <c r="A1315" s="31"/>
      <c r="B1315" s="44" t="s">
        <v>86</v>
      </c>
      <c r="C1315" s="343"/>
      <c r="D1315" s="46"/>
      <c r="E1315" s="47"/>
      <c r="F1315" s="47"/>
      <c r="G1315" s="47"/>
      <c r="H1315" s="49">
        <f>H1301+H1308</f>
        <v>38000</v>
      </c>
      <c r="I1315" s="49">
        <f>I1301+I1308</f>
        <v>38000</v>
      </c>
      <c r="J1315" s="286">
        <f>J1301+J1308</f>
        <v>0</v>
      </c>
      <c r="K1315" s="286">
        <f>K1272+K1279+K1301+K1308</f>
        <v>0</v>
      </c>
      <c r="M1315" s="286"/>
      <c r="N1315" s="63"/>
      <c r="O1315" s="56"/>
      <c r="P1315" s="56"/>
    </row>
    <row r="1316" spans="1:16">
      <c r="A1316" s="31"/>
      <c r="B1316" s="44" t="s">
        <v>85</v>
      </c>
      <c r="C1316" s="343"/>
      <c r="D1316" s="46"/>
      <c r="E1316" s="46"/>
      <c r="F1316" s="47"/>
      <c r="G1316" s="47"/>
      <c r="H1316" s="49">
        <f t="shared" ref="H1316" si="246">H1302+H1309</f>
        <v>199680</v>
      </c>
      <c r="I1316" s="49">
        <f t="shared" ref="I1316:J1316" si="247">I1302+I1309</f>
        <v>199680</v>
      </c>
      <c r="J1316" s="286">
        <f t="shared" si="247"/>
        <v>0</v>
      </c>
      <c r="K1316" s="269">
        <f>J1316-'[1]капстр (с краевыми)'!$J$240</f>
        <v>-310400</v>
      </c>
      <c r="M1316" s="286"/>
      <c r="N1316" s="63"/>
      <c r="O1316" s="56"/>
      <c r="P1316" s="56"/>
    </row>
    <row r="1317" spans="1:16">
      <c r="A1317" s="31"/>
      <c r="B1317" s="44" t="s">
        <v>87</v>
      </c>
      <c r="C1317" s="343"/>
      <c r="D1317" s="46"/>
      <c r="E1317" s="46"/>
      <c r="F1317" s="47"/>
      <c r="G1317" s="47"/>
      <c r="H1317" s="49">
        <f t="shared" ref="H1317" si="248">H1303+H1310</f>
        <v>139970</v>
      </c>
      <c r="I1317" s="49">
        <f t="shared" ref="I1317:J1317" si="249">I1303+I1310</f>
        <v>139970</v>
      </c>
      <c r="J1317" s="286">
        <f t="shared" si="249"/>
        <v>0</v>
      </c>
      <c r="K1317" s="269">
        <f>J1317-'[1]капстр (с краевыми)'!$J$241</f>
        <v>-310400</v>
      </c>
      <c r="M1317" s="286"/>
      <c r="N1317" s="63"/>
      <c r="O1317" s="56"/>
      <c r="P1317" s="56"/>
    </row>
    <row r="1318" spans="1:16">
      <c r="A1318" s="31"/>
      <c r="B1318" s="44" t="s">
        <v>31</v>
      </c>
      <c r="C1318" s="343"/>
      <c r="D1318" s="46"/>
      <c r="E1318" s="46"/>
      <c r="F1318" s="47"/>
      <c r="G1318" s="47"/>
      <c r="H1318" s="49">
        <f t="shared" ref="H1318" si="250">H1304+H1311</f>
        <v>0</v>
      </c>
      <c r="I1318" s="49">
        <f t="shared" ref="I1318:J1318" si="251">I1304+I1311</f>
        <v>0</v>
      </c>
      <c r="J1318" s="286">
        <f t="shared" si="251"/>
        <v>0</v>
      </c>
      <c r="K1318" s="269">
        <v>560000</v>
      </c>
      <c r="M1318" s="286"/>
      <c r="N1318" s="63"/>
      <c r="O1318" s="56"/>
      <c r="P1318" s="56"/>
    </row>
    <row r="1319" spans="1:16">
      <c r="A1319" s="31"/>
      <c r="B1319" s="44" t="s">
        <v>32</v>
      </c>
      <c r="C1319" s="343"/>
      <c r="D1319" s="46"/>
      <c r="E1319" s="46"/>
      <c r="F1319" s="47"/>
      <c r="G1319" s="47"/>
      <c r="H1319" s="49">
        <f t="shared" ref="H1319" si="252">H1305+H1312</f>
        <v>0</v>
      </c>
      <c r="I1319" s="49">
        <f t="shared" ref="I1319:J1319" si="253">I1305+I1312</f>
        <v>0</v>
      </c>
      <c r="J1319" s="286">
        <f t="shared" si="253"/>
        <v>0</v>
      </c>
      <c r="K1319" s="272">
        <v>600000</v>
      </c>
      <c r="M1319" s="286"/>
      <c r="N1319" s="63"/>
      <c r="O1319" s="56"/>
      <c r="P1319" s="56"/>
    </row>
    <row r="1320" spans="1:16">
      <c r="A1320" s="31"/>
      <c r="B1320" s="44" t="s">
        <v>33</v>
      </c>
      <c r="C1320" s="343"/>
      <c r="D1320" s="46"/>
      <c r="E1320" s="46"/>
      <c r="F1320" s="47"/>
      <c r="G1320" s="47"/>
      <c r="H1320" s="49">
        <f t="shared" ref="H1320" si="254">H1306+H1313</f>
        <v>0</v>
      </c>
      <c r="I1320" s="49">
        <f t="shared" ref="I1320:J1320" si="255">I1306+I1313</f>
        <v>0</v>
      </c>
      <c r="J1320" s="286">
        <f t="shared" si="255"/>
        <v>0</v>
      </c>
      <c r="K1320" s="272">
        <v>710000</v>
      </c>
      <c r="M1320" s="286"/>
      <c r="N1320" s="63"/>
      <c r="O1320" s="56"/>
      <c r="P1320" s="56"/>
    </row>
    <row r="1321" spans="1:16">
      <c r="A1321" s="73"/>
      <c r="B1321" s="67" t="s">
        <v>14</v>
      </c>
      <c r="C1321" s="346"/>
      <c r="D1321" s="134"/>
      <c r="E1321" s="134"/>
      <c r="F1321" s="134"/>
      <c r="G1321" s="136"/>
      <c r="H1321" s="137"/>
      <c r="I1321" s="137"/>
      <c r="J1321" s="287"/>
      <c r="M1321" s="259"/>
      <c r="N1321" s="63"/>
      <c r="O1321" s="56"/>
      <c r="P1321" s="56"/>
    </row>
    <row r="1322" spans="1:16" ht="52.5" customHeight="1">
      <c r="A1322" s="194">
        <v>1</v>
      </c>
      <c r="B1322" s="233" t="s">
        <v>360</v>
      </c>
      <c r="C1322" s="60"/>
      <c r="D1322" s="68"/>
      <c r="E1322" s="74"/>
      <c r="F1322" s="140"/>
      <c r="G1322" s="140"/>
      <c r="H1322" s="95"/>
      <c r="I1322" s="95"/>
      <c r="J1322" s="268"/>
      <c r="M1322" s="286"/>
      <c r="N1322" s="63"/>
      <c r="O1322" s="56"/>
      <c r="P1322" s="56"/>
    </row>
    <row r="1323" spans="1:16">
      <c r="A1323" s="194"/>
      <c r="B1323" s="72" t="s">
        <v>86</v>
      </c>
      <c r="C1323" s="60"/>
      <c r="D1323" s="68"/>
      <c r="E1323" s="74"/>
      <c r="F1323" s="140"/>
      <c r="G1323" s="205"/>
      <c r="H1323" s="66">
        <f t="shared" ref="H1323:H1328" si="256">I1323+J1323</f>
        <v>50000</v>
      </c>
      <c r="I1323" s="95">
        <v>50000</v>
      </c>
      <c r="J1323" s="275"/>
      <c r="M1323" s="259"/>
      <c r="N1323" s="63"/>
      <c r="O1323" s="56"/>
      <c r="P1323" s="56"/>
    </row>
    <row r="1324" spans="1:16">
      <c r="A1324" s="194"/>
      <c r="B1324" s="72" t="s">
        <v>85</v>
      </c>
      <c r="C1324" s="60"/>
      <c r="D1324" s="68"/>
      <c r="E1324" s="74"/>
      <c r="F1324" s="140"/>
      <c r="G1324" s="205"/>
      <c r="H1324" s="66">
        <f t="shared" si="256"/>
        <v>50000</v>
      </c>
      <c r="I1324" s="95">
        <v>50000</v>
      </c>
      <c r="J1324" s="268"/>
      <c r="M1324" s="259"/>
      <c r="N1324" s="63"/>
      <c r="O1324" s="56"/>
      <c r="P1324" s="56"/>
    </row>
    <row r="1325" spans="1:16">
      <c r="A1325" s="194"/>
      <c r="B1325" s="72" t="s">
        <v>87</v>
      </c>
      <c r="C1325" s="60"/>
      <c r="D1325" s="68"/>
      <c r="E1325" s="74"/>
      <c r="F1325" s="140"/>
      <c r="G1325" s="205"/>
      <c r="H1325" s="66">
        <f t="shared" si="256"/>
        <v>50000</v>
      </c>
      <c r="I1325" s="95">
        <v>50000</v>
      </c>
      <c r="J1325" s="268"/>
      <c r="M1325" s="259"/>
      <c r="N1325" s="63"/>
      <c r="O1325" s="56"/>
      <c r="P1325" s="56"/>
    </row>
    <row r="1326" spans="1:16">
      <c r="A1326" s="194"/>
      <c r="B1326" s="72" t="s">
        <v>31</v>
      </c>
      <c r="C1326" s="60"/>
      <c r="D1326" s="68"/>
      <c r="E1326" s="74"/>
      <c r="F1326" s="140"/>
      <c r="G1326" s="205"/>
      <c r="H1326" s="66">
        <f t="shared" si="256"/>
        <v>50000</v>
      </c>
      <c r="I1326" s="95">
        <v>50000</v>
      </c>
      <c r="J1326" s="268"/>
      <c r="M1326" s="259"/>
      <c r="N1326" s="63"/>
      <c r="O1326" s="56"/>
      <c r="P1326" s="56"/>
    </row>
    <row r="1327" spans="1:16">
      <c r="A1327" s="194"/>
      <c r="B1327" s="72" t="s">
        <v>32</v>
      </c>
      <c r="C1327" s="60"/>
      <c r="D1327" s="68"/>
      <c r="E1327" s="74"/>
      <c r="F1327" s="140"/>
      <c r="G1327" s="205"/>
      <c r="H1327" s="66">
        <f t="shared" si="256"/>
        <v>0</v>
      </c>
      <c r="I1327" s="95"/>
      <c r="J1327" s="275"/>
      <c r="M1327" s="259"/>
      <c r="N1327" s="63"/>
      <c r="O1327" s="56"/>
      <c r="P1327" s="56"/>
    </row>
    <row r="1328" spans="1:16">
      <c r="A1328" s="194"/>
      <c r="B1328" s="72" t="s">
        <v>33</v>
      </c>
      <c r="C1328" s="60"/>
      <c r="D1328" s="68"/>
      <c r="E1328" s="74"/>
      <c r="F1328" s="140"/>
      <c r="G1328" s="205"/>
      <c r="H1328" s="66">
        <f t="shared" si="256"/>
        <v>0</v>
      </c>
      <c r="I1328" s="95"/>
      <c r="J1328" s="275"/>
      <c r="M1328" s="259"/>
      <c r="N1328" s="63"/>
      <c r="O1328" s="56"/>
      <c r="P1328" s="56"/>
    </row>
    <row r="1329" spans="1:16">
      <c r="A1329" s="31"/>
      <c r="B1329" s="44" t="s">
        <v>312</v>
      </c>
      <c r="C1329" s="343"/>
      <c r="D1329" s="46"/>
      <c r="E1329" s="47"/>
      <c r="F1329" s="47"/>
      <c r="G1329" s="47"/>
      <c r="H1329" s="48"/>
      <c r="I1329" s="49"/>
      <c r="J1329" s="286"/>
      <c r="K1329" s="269"/>
      <c r="M1329" s="286"/>
      <c r="N1329" s="63"/>
      <c r="O1329" s="56"/>
      <c r="P1329" s="56"/>
    </row>
    <row r="1330" spans="1:16">
      <c r="A1330" s="31"/>
      <c r="B1330" s="44" t="s">
        <v>86</v>
      </c>
      <c r="C1330" s="343"/>
      <c r="D1330" s="46"/>
      <c r="E1330" s="47"/>
      <c r="F1330" s="47"/>
      <c r="G1330" s="47"/>
      <c r="H1330" s="49">
        <f t="shared" ref="H1330:H1335" si="257">H1323</f>
        <v>50000</v>
      </c>
      <c r="I1330" s="49">
        <f t="shared" ref="I1330:I1335" si="258">I1323</f>
        <v>50000</v>
      </c>
      <c r="J1330" s="286">
        <f>J1323</f>
        <v>0</v>
      </c>
      <c r="K1330" s="286" t="e">
        <f>K1301+K1308+K1323+#REF!</f>
        <v>#REF!</v>
      </c>
      <c r="M1330" s="286"/>
      <c r="N1330" s="63"/>
      <c r="O1330" s="56"/>
      <c r="P1330" s="56"/>
    </row>
    <row r="1331" spans="1:16">
      <c r="A1331" s="31"/>
      <c r="B1331" s="44" t="s">
        <v>85</v>
      </c>
      <c r="C1331" s="343"/>
      <c r="D1331" s="46"/>
      <c r="E1331" s="46"/>
      <c r="F1331" s="47"/>
      <c r="G1331" s="47"/>
      <c r="H1331" s="49">
        <f t="shared" si="257"/>
        <v>50000</v>
      </c>
      <c r="I1331" s="49">
        <f t="shared" si="258"/>
        <v>50000</v>
      </c>
      <c r="J1331" s="286">
        <f t="shared" ref="J1331:J1335" si="259">J1324</f>
        <v>0</v>
      </c>
      <c r="K1331" s="269">
        <f>J1331-'[1]капстр (с краевыми)'!$J$240</f>
        <v>-310400</v>
      </c>
      <c r="M1331" s="286"/>
      <c r="N1331" s="63"/>
      <c r="O1331" s="56"/>
      <c r="P1331" s="56"/>
    </row>
    <row r="1332" spans="1:16">
      <c r="A1332" s="31"/>
      <c r="B1332" s="44" t="s">
        <v>87</v>
      </c>
      <c r="C1332" s="343"/>
      <c r="D1332" s="46"/>
      <c r="E1332" s="46"/>
      <c r="F1332" s="47"/>
      <c r="G1332" s="47"/>
      <c r="H1332" s="49">
        <f t="shared" si="257"/>
        <v>50000</v>
      </c>
      <c r="I1332" s="49">
        <f t="shared" si="258"/>
        <v>50000</v>
      </c>
      <c r="J1332" s="286">
        <f t="shared" si="259"/>
        <v>0</v>
      </c>
      <c r="K1332" s="269">
        <f>J1332-'[1]капстр (с краевыми)'!$J$241</f>
        <v>-310400</v>
      </c>
      <c r="M1332" s="286"/>
      <c r="N1332" s="63"/>
      <c r="O1332" s="56"/>
      <c r="P1332" s="56"/>
    </row>
    <row r="1333" spans="1:16">
      <c r="A1333" s="31"/>
      <c r="B1333" s="44" t="s">
        <v>31</v>
      </c>
      <c r="C1333" s="343"/>
      <c r="D1333" s="46"/>
      <c r="E1333" s="46"/>
      <c r="F1333" s="47"/>
      <c r="G1333" s="47"/>
      <c r="H1333" s="49">
        <f t="shared" si="257"/>
        <v>50000</v>
      </c>
      <c r="I1333" s="49">
        <f t="shared" si="258"/>
        <v>50000</v>
      </c>
      <c r="J1333" s="286">
        <f t="shared" si="259"/>
        <v>0</v>
      </c>
      <c r="K1333" s="269">
        <v>560000</v>
      </c>
      <c r="M1333" s="286"/>
      <c r="N1333" s="63"/>
      <c r="O1333" s="56"/>
      <c r="P1333" s="56"/>
    </row>
    <row r="1334" spans="1:16">
      <c r="A1334" s="31"/>
      <c r="B1334" s="44" t="s">
        <v>32</v>
      </c>
      <c r="C1334" s="343"/>
      <c r="D1334" s="46"/>
      <c r="E1334" s="46"/>
      <c r="F1334" s="47"/>
      <c r="G1334" s="47"/>
      <c r="H1334" s="49">
        <f t="shared" si="257"/>
        <v>0</v>
      </c>
      <c r="I1334" s="49">
        <f t="shared" si="258"/>
        <v>0</v>
      </c>
      <c r="J1334" s="286">
        <f t="shared" si="259"/>
        <v>0</v>
      </c>
      <c r="K1334" s="272">
        <v>600000</v>
      </c>
      <c r="M1334" s="286"/>
      <c r="N1334" s="63"/>
      <c r="O1334" s="56"/>
      <c r="P1334" s="56"/>
    </row>
    <row r="1335" spans="1:16">
      <c r="A1335" s="31"/>
      <c r="B1335" s="44" t="s">
        <v>33</v>
      </c>
      <c r="C1335" s="343"/>
      <c r="D1335" s="46"/>
      <c r="E1335" s="46"/>
      <c r="F1335" s="47"/>
      <c r="G1335" s="47"/>
      <c r="H1335" s="49">
        <f t="shared" si="257"/>
        <v>0</v>
      </c>
      <c r="I1335" s="49">
        <f t="shared" si="258"/>
        <v>0</v>
      </c>
      <c r="J1335" s="286">
        <f t="shared" si="259"/>
        <v>0</v>
      </c>
      <c r="K1335" s="272">
        <v>710000</v>
      </c>
      <c r="M1335" s="286"/>
      <c r="N1335" s="63"/>
      <c r="O1335" s="56"/>
      <c r="P1335" s="56"/>
    </row>
    <row r="1336" spans="1:16">
      <c r="A1336" s="401" t="s">
        <v>197</v>
      </c>
      <c r="B1336" s="402"/>
      <c r="C1336" s="346"/>
      <c r="D1336" s="134"/>
      <c r="E1336" s="134"/>
      <c r="F1336" s="134"/>
      <c r="G1336" s="137"/>
      <c r="H1336" s="95">
        <f>H1338+H1339+H1340+H1341+H1342</f>
        <v>21893157.84</v>
      </c>
      <c r="I1336" s="95">
        <f t="shared" ref="I1336:M1336" si="260">I1338+I1339+I1340+I1341+I1342</f>
        <v>21893157.84</v>
      </c>
      <c r="J1336" s="95">
        <f t="shared" si="260"/>
        <v>0</v>
      </c>
      <c r="K1336" s="95">
        <f t="shared" si="260"/>
        <v>0</v>
      </c>
      <c r="L1336" s="95">
        <f t="shared" si="260"/>
        <v>0</v>
      </c>
      <c r="M1336" s="95">
        <f t="shared" si="260"/>
        <v>0</v>
      </c>
      <c r="N1336" s="63"/>
      <c r="O1336" s="56"/>
      <c r="P1336" s="56"/>
    </row>
    <row r="1337" spans="1:16">
      <c r="A1337" s="380" t="s">
        <v>86</v>
      </c>
      <c r="B1337" s="380"/>
      <c r="C1337" s="346"/>
      <c r="D1337" s="134"/>
      <c r="E1337" s="134"/>
      <c r="F1337" s="134"/>
      <c r="G1337" s="137"/>
      <c r="H1337" s="95">
        <f>I1337+J1337</f>
        <v>2875139.2</v>
      </c>
      <c r="I1337" s="126">
        <f t="shared" ref="I1337:J1342" si="261">I972+I1008+I1037+I1227+I1249+I1264+I1293+I1315+I1330</f>
        <v>2875139.2</v>
      </c>
      <c r="J1337" s="280">
        <f t="shared" si="261"/>
        <v>0</v>
      </c>
      <c r="M1337" s="280">
        <f t="shared" ref="M1337:M1342" si="262">M972+M1008+M1037+M1227+M1249+M1264+M1293+M1315+M1330</f>
        <v>0</v>
      </c>
      <c r="N1337" s="63"/>
      <c r="O1337" s="56"/>
      <c r="P1337" s="56"/>
    </row>
    <row r="1338" spans="1:16">
      <c r="A1338" s="380" t="s">
        <v>85</v>
      </c>
      <c r="B1338" s="380"/>
      <c r="C1338" s="346"/>
      <c r="D1338" s="134"/>
      <c r="E1338" s="134"/>
      <c r="F1338" s="134"/>
      <c r="G1338" s="137"/>
      <c r="H1338" s="95">
        <f>I1338+J1338</f>
        <v>4883929.3</v>
      </c>
      <c r="I1338" s="126">
        <f t="shared" si="261"/>
        <v>4883929.3</v>
      </c>
      <c r="J1338" s="280">
        <f t="shared" si="261"/>
        <v>0</v>
      </c>
      <c r="M1338" s="280">
        <f t="shared" si="262"/>
        <v>0</v>
      </c>
      <c r="N1338" s="63"/>
      <c r="O1338" s="56"/>
      <c r="P1338" s="56"/>
    </row>
    <row r="1339" spans="1:16">
      <c r="A1339" s="380" t="s">
        <v>87</v>
      </c>
      <c r="B1339" s="380"/>
      <c r="C1339" s="346"/>
      <c r="D1339" s="134"/>
      <c r="E1339" s="134"/>
      <c r="F1339" s="134"/>
      <c r="G1339" s="137"/>
      <c r="H1339" s="95">
        <f t="shared" ref="H1339:H1342" si="263">I1339+J1339</f>
        <v>3303012.8</v>
      </c>
      <c r="I1339" s="126">
        <f t="shared" si="261"/>
        <v>3303012.8</v>
      </c>
      <c r="J1339" s="280">
        <f t="shared" si="261"/>
        <v>0</v>
      </c>
      <c r="M1339" s="280">
        <f t="shared" si="262"/>
        <v>0</v>
      </c>
      <c r="N1339" s="63"/>
      <c r="O1339" s="56"/>
      <c r="P1339" s="56"/>
    </row>
    <row r="1340" spans="1:16">
      <c r="A1340" s="380" t="s">
        <v>31</v>
      </c>
      <c r="B1340" s="380"/>
      <c r="C1340" s="346"/>
      <c r="D1340" s="134"/>
      <c r="E1340" s="134"/>
      <c r="F1340" s="134"/>
      <c r="G1340" s="137"/>
      <c r="H1340" s="95">
        <f t="shared" si="263"/>
        <v>2907900</v>
      </c>
      <c r="I1340" s="126">
        <f t="shared" si="261"/>
        <v>2907900</v>
      </c>
      <c r="J1340" s="280">
        <f t="shared" si="261"/>
        <v>0</v>
      </c>
      <c r="M1340" s="280">
        <f t="shared" si="262"/>
        <v>0</v>
      </c>
      <c r="N1340" s="63"/>
      <c r="O1340" s="56"/>
      <c r="P1340" s="56"/>
    </row>
    <row r="1341" spans="1:16">
      <c r="A1341" s="380" t="s">
        <v>32</v>
      </c>
      <c r="B1341" s="380"/>
      <c r="C1341" s="346"/>
      <c r="D1341" s="134"/>
      <c r="E1341" s="134"/>
      <c r="F1341" s="134"/>
      <c r="G1341" s="137"/>
      <c r="H1341" s="95">
        <f t="shared" si="263"/>
        <v>5646817.04</v>
      </c>
      <c r="I1341" s="126">
        <f t="shared" si="261"/>
        <v>5646817.04</v>
      </c>
      <c r="J1341" s="280">
        <f t="shared" si="261"/>
        <v>0</v>
      </c>
      <c r="M1341" s="280">
        <f t="shared" si="262"/>
        <v>0</v>
      </c>
      <c r="N1341" s="63"/>
      <c r="O1341" s="56"/>
      <c r="P1341" s="56"/>
    </row>
    <row r="1342" spans="1:16">
      <c r="A1342" s="380" t="s">
        <v>33</v>
      </c>
      <c r="B1342" s="380"/>
      <c r="C1342" s="346"/>
      <c r="D1342" s="134"/>
      <c r="E1342" s="134"/>
      <c r="F1342" s="134"/>
      <c r="G1342" s="137"/>
      <c r="H1342" s="95">
        <f t="shared" si="263"/>
        <v>5151498.7</v>
      </c>
      <c r="I1342" s="126">
        <f>I977+I1013+I1042+I1232+I1254+I1269+I1298+I1320+I1335</f>
        <v>5151498.7</v>
      </c>
      <c r="J1342" s="280">
        <f t="shared" si="261"/>
        <v>0</v>
      </c>
      <c r="M1342" s="280">
        <f t="shared" si="262"/>
        <v>0</v>
      </c>
      <c r="N1342" s="63"/>
      <c r="O1342" s="56"/>
      <c r="P1342" s="56"/>
    </row>
    <row r="1343" spans="1:16">
      <c r="A1343" s="403" t="s">
        <v>142</v>
      </c>
      <c r="B1343" s="404"/>
      <c r="C1343" s="346"/>
      <c r="D1343" s="134"/>
      <c r="E1343" s="134"/>
      <c r="F1343" s="134"/>
      <c r="G1343" s="137"/>
      <c r="H1343" s="95"/>
      <c r="I1343" s="95"/>
      <c r="J1343" s="268"/>
      <c r="M1343" s="259"/>
      <c r="N1343" s="63"/>
      <c r="O1343" s="56"/>
      <c r="P1343" s="56"/>
    </row>
    <row r="1344" spans="1:16">
      <c r="A1344" s="399" t="s">
        <v>86</v>
      </c>
      <c r="B1344" s="400"/>
      <c r="C1344" s="346"/>
      <c r="D1344" s="134"/>
      <c r="E1344" s="134"/>
      <c r="F1344" s="134"/>
      <c r="G1344" s="137"/>
      <c r="H1344" s="95">
        <f>I1344+J1344</f>
        <v>4721134.6000000006</v>
      </c>
      <c r="I1344" s="95">
        <f t="shared" ref="I1344:J1349" si="264">I1337+I942</f>
        <v>3373133.8000000003</v>
      </c>
      <c r="J1344" s="268">
        <f t="shared" si="264"/>
        <v>1348000.8</v>
      </c>
      <c r="M1344" s="268">
        <f t="shared" ref="M1344:M1349" si="265">M1337+M942</f>
        <v>0</v>
      </c>
      <c r="N1344" s="63"/>
      <c r="O1344" s="56"/>
      <c r="P1344" s="56"/>
    </row>
    <row r="1345" spans="1:16">
      <c r="A1345" s="399" t="s">
        <v>85</v>
      </c>
      <c r="B1345" s="400"/>
      <c r="C1345" s="346"/>
      <c r="D1345" s="134"/>
      <c r="E1345" s="134"/>
      <c r="F1345" s="134"/>
      <c r="G1345" s="137"/>
      <c r="H1345" s="95">
        <f>I1345+J1345</f>
        <v>6793637.2999999998</v>
      </c>
      <c r="I1345" s="95">
        <f t="shared" si="264"/>
        <v>5013341.5</v>
      </c>
      <c r="J1345" s="268">
        <f t="shared" si="264"/>
        <v>1780295.7999999998</v>
      </c>
      <c r="M1345" s="268">
        <f t="shared" si="265"/>
        <v>4000</v>
      </c>
      <c r="N1345" s="63"/>
      <c r="O1345" s="56"/>
      <c r="P1345" s="56"/>
    </row>
    <row r="1346" spans="1:16">
      <c r="A1346" s="399" t="s">
        <v>87</v>
      </c>
      <c r="B1346" s="400"/>
      <c r="C1346" s="346"/>
      <c r="D1346" s="134"/>
      <c r="E1346" s="134"/>
      <c r="F1346" s="134"/>
      <c r="G1346" s="136"/>
      <c r="H1346" s="95">
        <f t="shared" ref="H1346:H1349" si="266">I1346+J1346</f>
        <v>4899208.0999999996</v>
      </c>
      <c r="I1346" s="95">
        <f t="shared" si="264"/>
        <v>3303012.8</v>
      </c>
      <c r="J1346" s="268">
        <f t="shared" si="264"/>
        <v>1596195.2999999998</v>
      </c>
      <c r="M1346" s="268">
        <f t="shared" si="265"/>
        <v>92023.2</v>
      </c>
      <c r="N1346" s="63"/>
      <c r="O1346" s="56"/>
      <c r="P1346" s="56"/>
    </row>
    <row r="1347" spans="1:16">
      <c r="A1347" s="399" t="s">
        <v>31</v>
      </c>
      <c r="B1347" s="400"/>
      <c r="C1347" s="346"/>
      <c r="D1347" s="134"/>
      <c r="E1347" s="134"/>
      <c r="F1347" s="134"/>
      <c r="G1347" s="136"/>
      <c r="H1347" s="95">
        <f t="shared" si="266"/>
        <v>4468595.3</v>
      </c>
      <c r="I1347" s="95">
        <f t="shared" si="264"/>
        <v>2907900</v>
      </c>
      <c r="J1347" s="268">
        <f t="shared" si="264"/>
        <v>1560695.3</v>
      </c>
      <c r="M1347" s="268">
        <f t="shared" si="265"/>
        <v>59366.3</v>
      </c>
      <c r="N1347" s="63"/>
      <c r="O1347" s="56"/>
      <c r="P1347" s="56"/>
    </row>
    <row r="1348" spans="1:16">
      <c r="A1348" s="399" t="s">
        <v>32</v>
      </c>
      <c r="B1348" s="400"/>
      <c r="C1348" s="346"/>
      <c r="D1348" s="134"/>
      <c r="E1348" s="134"/>
      <c r="F1348" s="134"/>
      <c r="G1348" s="136"/>
      <c r="H1348" s="95">
        <f t="shared" si="266"/>
        <v>7699638.6400000006</v>
      </c>
      <c r="I1348" s="95">
        <f t="shared" si="264"/>
        <v>5646817.04</v>
      </c>
      <c r="J1348" s="268">
        <f t="shared" si="264"/>
        <v>2052821.6</v>
      </c>
      <c r="M1348" s="268">
        <f>M1341+M946</f>
        <v>1836342.2999999998</v>
      </c>
      <c r="N1348" s="236">
        <f>J1348+M1348</f>
        <v>3889163.9</v>
      </c>
      <c r="O1348" s="56"/>
      <c r="P1348" s="56"/>
    </row>
    <row r="1349" spans="1:16">
      <c r="A1349" s="399" t="s">
        <v>33</v>
      </c>
      <c r="B1349" s="400"/>
      <c r="C1349" s="346"/>
      <c r="D1349" s="134"/>
      <c r="E1349" s="134"/>
      <c r="F1349" s="134"/>
      <c r="G1349" s="136"/>
      <c r="H1349" s="95">
        <f t="shared" si="266"/>
        <v>7285951.3000000007</v>
      </c>
      <c r="I1349" s="95">
        <f t="shared" si="264"/>
        <v>5151498.7</v>
      </c>
      <c r="J1349" s="268">
        <f t="shared" si="264"/>
        <v>2134452.6</v>
      </c>
      <c r="M1349" s="268">
        <f t="shared" si="265"/>
        <v>2878803.3</v>
      </c>
      <c r="N1349" s="236">
        <f>J1349+M1349</f>
        <v>5013255.9000000004</v>
      </c>
      <c r="O1349" s="56"/>
      <c r="P1349" s="56"/>
    </row>
    <row r="1350" spans="1:16">
      <c r="H1350" s="237">
        <f>H1345+H1346+H1347+H1348+H1349</f>
        <v>31147030.640000001</v>
      </c>
      <c r="I1350" s="237">
        <f>I1345+I1346+I1347+I1348+I1349</f>
        <v>22022570.039999999</v>
      </c>
      <c r="J1350" s="338">
        <f>J1345+J1346+J1347+J1348+J1349</f>
        <v>9124460.5999999996</v>
      </c>
      <c r="K1350" s="338">
        <f t="shared" ref="K1350:M1350" si="267">K1345+K1346+K1347+K1348+K1349</f>
        <v>0</v>
      </c>
      <c r="L1350" s="338">
        <f t="shared" si="267"/>
        <v>0</v>
      </c>
      <c r="M1350" s="338">
        <f t="shared" si="267"/>
        <v>4870535.0999999996</v>
      </c>
    </row>
    <row r="1351" spans="1:16">
      <c r="I1351" s="237">
        <f>I1350+J1350+M1350</f>
        <v>36017565.740000002</v>
      </c>
    </row>
  </sheetData>
  <mergeCells count="31">
    <mergeCell ref="A16:B16"/>
    <mergeCell ref="A948:B948"/>
    <mergeCell ref="A1338:B1338"/>
    <mergeCell ref="A1339:B1339"/>
    <mergeCell ref="A1340:B1340"/>
    <mergeCell ref="A1348:B1348"/>
    <mergeCell ref="A1349:B1349"/>
    <mergeCell ref="A1336:B1336"/>
    <mergeCell ref="A1345:B1345"/>
    <mergeCell ref="A1346:B1346"/>
    <mergeCell ref="A1347:B1347"/>
    <mergeCell ref="A1343:B1343"/>
    <mergeCell ref="A1341:B1341"/>
    <mergeCell ref="A1342:B1342"/>
    <mergeCell ref="A1344:B1344"/>
    <mergeCell ref="B10:K10"/>
    <mergeCell ref="A1337:B1337"/>
    <mergeCell ref="H1:J1"/>
    <mergeCell ref="H2:J2"/>
    <mergeCell ref="A6:D6"/>
    <mergeCell ref="B13:B14"/>
    <mergeCell ref="C13:C14"/>
    <mergeCell ref="D13:D14"/>
    <mergeCell ref="G13:G14"/>
    <mergeCell ref="H13:J13"/>
    <mergeCell ref="A5:J5"/>
    <mergeCell ref="E13:E14"/>
    <mergeCell ref="F13:F14"/>
    <mergeCell ref="A13:A14"/>
    <mergeCell ref="H7:M8"/>
    <mergeCell ref="M13:M14"/>
  </mergeCells>
  <phoneticPr fontId="18" type="noConversion"/>
  <pageMargins left="0.78740157480314965" right="0.19685039370078741" top="0.82677165354330717" bottom="0.19685039370078741" header="0.78740157480314965" footer="0.19685039370078741"/>
  <pageSetup paperSize="9" scale="85" firstPageNumber="425" orientation="landscape" useFirstPageNumber="1" horizontalDpi="180" verticalDpi="180" r:id="rId1"/>
  <headerFooter>
    <oddFooter>&amp;R&amp;P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429F7223BAE89468E1C6405CB4BF892" ma:contentTypeVersion="1" ma:contentTypeDescription="Создание документа." ma:contentTypeScope="" ma:versionID="1fd9672180824041fe89580848972a0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21AD0F-6EB8-4F6E-BFD4-FE665C633AB1}"/>
</file>

<file path=customXml/itemProps2.xml><?xml version="1.0" encoding="utf-8"?>
<ds:datastoreItem xmlns:ds="http://schemas.openxmlformats.org/officeDocument/2006/customXml" ds:itemID="{BFAD8794-55BC-41A7-BFE8-F64659A653D7}"/>
</file>

<file path=customXml/itemProps3.xml><?xml version="1.0" encoding="utf-8"?>
<ds:datastoreItem xmlns:ds="http://schemas.openxmlformats.org/officeDocument/2006/customXml" ds:itemID="{3C1B2EB6-65D6-40F1-AA49-1C171ABCA0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рабочий до 15 г</vt:lpstr>
      <vt:lpstr>'рабочий до 15 г'!Заголовки_для_печати</vt:lpstr>
      <vt:lpstr>'рабочий до 15 г'!Область_печати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2011-10-12T06:49:56Z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0x010100E429F7223BAE89468E1C6405CB4BF892</vt:lpwstr>
  </property>
</Properties>
</file>